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1020" yWindow="65524" windowWidth="11508" windowHeight="9936" tabRatio="773" activeTab="2"/>
  </bookViews>
  <sheets>
    <sheet name="ORIENTAÇÕES" sheetId="1" r:id="rId1"/>
    <sheet name="TOTALIZAÇÃO" sheetId="2" r:id="rId2"/>
    <sheet name="CEASA" sheetId="3" r:id="rId3"/>
    <sheet name="Uniformes&amp;Equipamentos" sheetId="4" r:id="rId4"/>
  </sheets>
  <externalReferences>
    <externalReference r:id="rId7"/>
  </externalReferences>
  <definedNames>
    <definedName name="_xlfn.IFERROR" hidden="1">#NAME?</definedName>
    <definedName name="_xlnm.Print_Area" localSheetId="2">'CEASA'!$B$3:$K$101</definedName>
    <definedName name="_xlnm.Print_Area" localSheetId="1">'TOTALIZAÇÃO'!$H$2:$N$9</definedName>
    <definedName name="_xlnm.Print_Area" localSheetId="3">'Uniformes&amp;Equipamentos'!#REF!</definedName>
    <definedName name="Clique_aqui_e_selecione">#REF!</definedName>
    <definedName name="Lucro">#REF!</definedName>
  </definedNames>
  <calcPr fullCalcOnLoad="1"/>
</workbook>
</file>

<file path=xl/comments3.xml><?xml version="1.0" encoding="utf-8"?>
<comments xmlns="http://schemas.openxmlformats.org/spreadsheetml/2006/main">
  <authors>
    <author>Usu?rio do Windows</author>
    <author>jfsp</author>
    <author>HOME</author>
  </authors>
  <commentList>
    <comment ref="C19" authorId="0">
      <text>
        <r>
          <rPr>
            <sz val="8"/>
            <rFont val="Tahoma"/>
            <family val="2"/>
          </rPr>
          <t>Decorre da hora noturna ser remunerada em valor maior;
Horas que incide adicional noturno = 9/12 ou 75% das noras noturnas.
Alóquota do NA = 20%
Hora noturna: 22 às 5</t>
        </r>
      </text>
    </comment>
    <comment ref="H85" authorId="1">
      <text>
        <r>
          <rPr>
            <sz val="8"/>
            <rFont val="Tahoma"/>
            <family val="2"/>
          </rPr>
          <t>O fator de divisão deve ser calculado na forma decimal</t>
        </r>
      </text>
    </comment>
    <comment ref="I85" authorId="1">
      <text>
        <r>
          <rPr>
            <b/>
            <sz val="8"/>
            <rFont val="Tahoma"/>
            <family val="2"/>
          </rPr>
          <t>O fator de divisão deve ser calculado na forma decimal</t>
        </r>
      </text>
    </comment>
    <comment ref="J85" authorId="1">
      <text>
        <r>
          <rPr>
            <b/>
            <sz val="8"/>
            <rFont val="Tahoma"/>
            <family val="2"/>
          </rPr>
          <t>O fator de divisão deve ser calculado na forma decimal</t>
        </r>
      </text>
    </comment>
    <comment ref="K85" authorId="1">
      <text>
        <r>
          <rPr>
            <b/>
            <sz val="8"/>
            <rFont val="Tahoma"/>
            <family val="2"/>
          </rPr>
          <t>O fator de divisão deve ser calculado na forma decimal</t>
        </r>
      </text>
    </comment>
    <comment ref="C20" authorId="0">
      <text>
        <r>
          <rPr>
            <sz val="8"/>
            <rFont val="Tahoma"/>
            <family val="2"/>
          </rPr>
          <t>Cada hora noturna corresponde a 52min e 30segundos</t>
        </r>
      </text>
    </comment>
    <comment ref="G39" authorId="0">
      <text>
        <r>
          <rPr>
            <b/>
            <sz val="8"/>
            <rFont val="Tahoma"/>
            <family val="2"/>
          </rPr>
          <t>Usuário do Windows:</t>
        </r>
        <r>
          <rPr>
            <sz val="8"/>
            <rFont val="Tahoma"/>
            <family val="2"/>
          </rPr>
          <t xml:space="preserve">
=RATxFAT</t>
        </r>
      </text>
    </comment>
    <comment ref="A66" authorId="0">
      <text>
        <r>
          <rPr>
            <b/>
            <sz val="8"/>
            <rFont val="Tahoma"/>
            <family val="2"/>
          </rPr>
          <t>Usuário do Windows:</t>
        </r>
        <r>
          <rPr>
            <sz val="8"/>
            <rFont val="Tahoma"/>
            <family val="2"/>
          </rPr>
          <t xml:space="preserve">
360 dias conforme metodologia do CNJ.</t>
        </r>
      </text>
    </comment>
    <comment ref="A67" authorId="0">
      <text>
        <r>
          <rPr>
            <b/>
            <sz val="8"/>
            <rFont val="Tahoma"/>
            <family val="2"/>
          </rPr>
          <t>Usuário do Windows:</t>
        </r>
        <r>
          <rPr>
            <sz val="8"/>
            <rFont val="Tahoma"/>
            <family val="2"/>
          </rPr>
          <t xml:space="preserve">
360 dias conforme metodologia do CNJ.</t>
        </r>
      </text>
    </comment>
    <comment ref="A68" authorId="0">
      <text>
        <r>
          <rPr>
            <b/>
            <sz val="8"/>
            <rFont val="Tahoma"/>
            <family val="2"/>
          </rPr>
          <t>Usuário do Windows:</t>
        </r>
        <r>
          <rPr>
            <sz val="8"/>
            <rFont val="Tahoma"/>
            <family val="2"/>
          </rPr>
          <t xml:space="preserve">
360 dias conforme metodologia do CNJ.</t>
        </r>
      </text>
    </comment>
    <comment ref="A69" authorId="0">
      <text>
        <r>
          <rPr>
            <b/>
            <sz val="8"/>
            <rFont val="Tahoma"/>
            <family val="2"/>
          </rPr>
          <t>Usuário do Windows:</t>
        </r>
        <r>
          <rPr>
            <sz val="8"/>
            <rFont val="Tahoma"/>
            <family val="2"/>
          </rPr>
          <t xml:space="preserve">
conforme metodologia do CNJ.</t>
        </r>
      </text>
    </comment>
    <comment ref="C21" authorId="2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total de horas trabalhadas no feriado por posto 12x36: 60 (12*5).</t>
        </r>
      </text>
    </comment>
  </commentList>
</comments>
</file>

<file path=xl/sharedStrings.xml><?xml version="1.0" encoding="utf-8"?>
<sst xmlns="http://schemas.openxmlformats.org/spreadsheetml/2006/main" count="320" uniqueCount="227">
  <si>
    <r>
      <t xml:space="preserve">Salário-Educação </t>
    </r>
    <r>
      <rPr>
        <sz val="10"/>
        <color indexed="12"/>
        <rFont val="Arial"/>
        <family val="2"/>
      </rPr>
      <t>[Total da remuneração x porcentagem do Salário-Educação]</t>
    </r>
  </si>
  <si>
    <r>
      <t xml:space="preserve">SEBRAE </t>
    </r>
    <r>
      <rPr>
        <sz val="10"/>
        <color indexed="12"/>
        <rFont val="Arial"/>
        <family val="2"/>
      </rPr>
      <t>[Total da remuneração x porcentagem do SEBRAE]</t>
    </r>
  </si>
  <si>
    <t>Módulo 1</t>
  </si>
  <si>
    <t>Módulo 2</t>
  </si>
  <si>
    <t>Módulo 3</t>
  </si>
  <si>
    <t>Módulo 4</t>
  </si>
  <si>
    <t>Módulo 5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</si>
  <si>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</si>
  <si>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</si>
  <si>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</si>
  <si>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</si>
  <si>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</si>
  <si>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</si>
  <si>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</si>
  <si>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</si>
  <si>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</si>
  <si>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Valor (R$)</t>
  </si>
  <si>
    <t>Outros (Especificar)</t>
  </si>
  <si>
    <t>Afastamento Maternidade</t>
  </si>
  <si>
    <t>QUADRO-RESUMO DO CUSTO POR EMPREGADO</t>
  </si>
  <si>
    <t>Mão de obra vinculada à execução contratual (valor por empregado)</t>
  </si>
  <si>
    <t>Alíquota</t>
  </si>
  <si>
    <t xml:space="preserve">Subtotal </t>
  </si>
  <si>
    <t>alíquota</t>
  </si>
  <si>
    <r>
      <t xml:space="preserve">INSS </t>
    </r>
    <r>
      <rPr>
        <sz val="10"/>
        <color indexed="12"/>
        <rFont val="Arial"/>
        <family val="2"/>
      </rPr>
      <t>[Total da remuneração x porcentagem d</t>
    </r>
    <r>
      <rPr>
        <sz val="10"/>
        <rFont val="Arial"/>
        <family val="2"/>
      </rPr>
      <t xml:space="preserve">o </t>
    </r>
    <r>
      <rPr>
        <sz val="10"/>
        <color indexed="12"/>
        <rFont val="Arial"/>
        <family val="2"/>
      </rPr>
      <t>INSS]</t>
    </r>
  </si>
  <si>
    <r>
      <t xml:space="preserve">SESI ou SESC </t>
    </r>
    <r>
      <rPr>
        <sz val="10"/>
        <color indexed="12"/>
        <rFont val="Arial"/>
        <family val="2"/>
      </rPr>
      <t xml:space="preserve"> [Total da remuneração x porcentagem do SESI/SESC]</t>
    </r>
  </si>
  <si>
    <r>
      <t xml:space="preserve">SENAI ou SENAC </t>
    </r>
    <r>
      <rPr>
        <sz val="10"/>
        <color indexed="12"/>
        <rFont val="Arial"/>
        <family val="2"/>
      </rPr>
      <t>[Total da remuneração x porcentagem do SENAI/SENAC]</t>
    </r>
  </si>
  <si>
    <r>
      <t xml:space="preserve">INCRA </t>
    </r>
    <r>
      <rPr>
        <sz val="10"/>
        <color indexed="12"/>
        <rFont val="Arial"/>
        <family val="2"/>
      </rPr>
      <t>[Total da remuneração x porcentagem do INCRA]</t>
    </r>
  </si>
  <si>
    <t>%</t>
  </si>
  <si>
    <t>LOCAL</t>
  </si>
  <si>
    <t>POSTO</t>
  </si>
  <si>
    <r>
      <t xml:space="preserve">Incidência do FGTS sobre Aviso Prévio INDENIZADO </t>
    </r>
    <r>
      <rPr>
        <sz val="10"/>
        <color indexed="12"/>
        <rFont val="Arial"/>
        <family val="2"/>
      </rPr>
      <t xml:space="preserve">[8% x subtotal 4.4.A] </t>
    </r>
  </si>
  <si>
    <t>13º Salário</t>
  </si>
  <si>
    <t>Data de apresentação da proposta (dia/mês/ano)</t>
  </si>
  <si>
    <t>Município/UF</t>
  </si>
  <si>
    <t>Processo</t>
  </si>
  <si>
    <r>
      <t xml:space="preserve">Transporte </t>
    </r>
    <r>
      <rPr>
        <sz val="10"/>
        <color indexed="12"/>
        <rFont val="Arial"/>
        <family val="2"/>
      </rPr>
      <t>[</t>
    </r>
    <r>
      <rPr>
        <sz val="10"/>
        <rFont val="Arial"/>
        <family val="2"/>
      </rPr>
      <t>(</t>
    </r>
    <r>
      <rPr>
        <sz val="10"/>
        <color indexed="12"/>
        <rFont val="Arial"/>
        <family val="2"/>
      </rPr>
      <t>Valor do vale x qtde utilizado por dia x média dos dias úteis do mês) - (desconto da parte do empregado (6% do salário-base))]</t>
    </r>
  </si>
  <si>
    <t>Posto 12 x 36 - Diurno</t>
  </si>
  <si>
    <t>Posto 12 x 36 - Noturno</t>
  </si>
  <si>
    <t>Tipo de serviço: Vigilância Patrimonial</t>
  </si>
  <si>
    <t>Adicional de férias</t>
  </si>
  <si>
    <r>
      <t>Aviso Prévio INDENIZADO</t>
    </r>
    <r>
      <rPr>
        <sz val="9"/>
        <color indexed="12"/>
        <rFont val="Arial"/>
        <family val="2"/>
      </rPr>
      <t xml:space="preserve"> -</t>
    </r>
  </si>
  <si>
    <t xml:space="preserve">Aviso Prévio TRABALHADO </t>
  </si>
  <si>
    <t>12 X 36 DIA</t>
  </si>
  <si>
    <t>CCT Ano</t>
  </si>
  <si>
    <t>Descrição</t>
  </si>
  <si>
    <t>Valor</t>
  </si>
  <si>
    <t>Cláusula</t>
  </si>
  <si>
    <t>16ª</t>
  </si>
  <si>
    <t>Vale-Transporte</t>
  </si>
  <si>
    <t>Seguro de vida (prêmio)</t>
  </si>
  <si>
    <t>Regime Tributário</t>
  </si>
  <si>
    <t>ENTRADA DE DADOS</t>
  </si>
  <si>
    <t>Selecione o Regime Tributário</t>
  </si>
  <si>
    <t>Simples Nacional</t>
  </si>
  <si>
    <t>RAT</t>
  </si>
  <si>
    <t>FAP</t>
  </si>
  <si>
    <t>Lucro</t>
  </si>
  <si>
    <t>ISS</t>
  </si>
  <si>
    <t>(A) QTDE POSTOS</t>
  </si>
  <si>
    <t>( B) QTDE VIGILANTES POR POSTO</t>
  </si>
  <si>
    <t>(C = A x B) QTDE DE VIGILANTES</t>
  </si>
  <si>
    <t>(E = C x D) =TOTAL MENSAL (R$)</t>
  </si>
  <si>
    <t>Lucro Real</t>
  </si>
  <si>
    <t>Lucro Presumido</t>
  </si>
  <si>
    <t>Registro MinTrab</t>
  </si>
  <si>
    <t>Salário Base</t>
  </si>
  <si>
    <r>
      <t xml:space="preserve">FGTS </t>
    </r>
    <r>
      <rPr>
        <sz val="10"/>
        <color indexed="12"/>
        <rFont val="Arial"/>
        <family val="2"/>
      </rPr>
      <t>[Total da remuneração x porcentagem do FGTS]</t>
    </r>
  </si>
  <si>
    <t>Custos Indiretos</t>
  </si>
  <si>
    <t>(D) UNITÁRIO MENSAL VIGILANTE (R$)</t>
  </si>
  <si>
    <t>Número do Processo</t>
  </si>
  <si>
    <t>Número da Licitação</t>
  </si>
  <si>
    <t>Data do Pregão:</t>
  </si>
  <si>
    <t>Descrição do Serviço:</t>
  </si>
  <si>
    <t>Segurança Patrimônial Armada</t>
  </si>
  <si>
    <t>Unidade de medida</t>
  </si>
  <si>
    <t xml:space="preserve">Módulo 01 – Composição da Remuneração </t>
  </si>
  <si>
    <t>Posto 44 h - Média dias trabalhado no mês</t>
  </si>
  <si>
    <t>Posto 12x36 - Média dias trabalhado no mês</t>
  </si>
  <si>
    <t>Módulo 2 – Encargos e benefícios anuais, mensais e diários</t>
  </si>
  <si>
    <t>Submódulo 2.2 – Encargos Previdenciários (GPS), Fundo de Garantia por Tempo de Serviço (FGTS) e outras contribuições</t>
  </si>
  <si>
    <t>Submódulo 2.3 – Benefícios Mensais e Diários</t>
  </si>
  <si>
    <t>Total Submódulo 2.3</t>
  </si>
  <si>
    <t>Total Submódulo 2.1</t>
  </si>
  <si>
    <t>Valor da Remuneração - Total Módulo 01</t>
  </si>
  <si>
    <t>Total Submódulo 2.2</t>
  </si>
  <si>
    <t>Quadro resumo do Módulo 2 – Encargos e benefícios anuais, mensais e diário</t>
  </si>
  <si>
    <t>2.1</t>
  </si>
  <si>
    <t>2.2</t>
  </si>
  <si>
    <t>2.3</t>
  </si>
  <si>
    <t>GPS, FGTS e outras contribuições</t>
  </si>
  <si>
    <t>Benefícios Mensais e diários</t>
  </si>
  <si>
    <t>Total - Modulo 2</t>
  </si>
  <si>
    <t>Módulo 3 – Provisão para rescisão</t>
  </si>
  <si>
    <t>Incidência dos encargos do submódulo 2.2 sobre o aviso prévio trabalhado</t>
  </si>
  <si>
    <t>Total Módulo 3</t>
  </si>
  <si>
    <t>Módulo 4 – Custo de reposição do profissional ausente</t>
  </si>
  <si>
    <t>Férias</t>
  </si>
  <si>
    <t>Total Módulo 4</t>
  </si>
  <si>
    <t>Ausências por acidente do trabalho</t>
  </si>
  <si>
    <t>Incidência do submódulo 2.2 sobre custo de reposição de reposição do profissional ausente</t>
  </si>
  <si>
    <t>Total Módulo 5</t>
  </si>
  <si>
    <t>Módulo 06 – Custos Indireto, Lucros e Tributos</t>
  </si>
  <si>
    <t>Custos Indiretos / Despesas Administrativas</t>
  </si>
  <si>
    <r>
      <t xml:space="preserve">Tributos Federais </t>
    </r>
  </si>
  <si>
    <t xml:space="preserve">     PIS</t>
  </si>
  <si>
    <t xml:space="preserve">     COFINS</t>
  </si>
  <si>
    <t>Tributos Municipais - ISS</t>
  </si>
  <si>
    <t>Encargos e benefícios anuais, mensais e diários</t>
  </si>
  <si>
    <t>Provisão para rescisão</t>
  </si>
  <si>
    <t>Custo de reposiçao do profissional ausente</t>
  </si>
  <si>
    <t>Custos Indireto, Lucros e Tributos</t>
  </si>
  <si>
    <t>Subtotal Módulos 1 + 2  + 3 + 4 + 5</t>
  </si>
  <si>
    <t>Módulo 6</t>
  </si>
  <si>
    <t>Insumos diversos</t>
  </si>
  <si>
    <t>Valor total proposto por empregado mês</t>
  </si>
  <si>
    <t>Total Módulo 6</t>
  </si>
  <si>
    <t>Item</t>
  </si>
  <si>
    <t>Valor Anual R$ 
(C = A * B)</t>
  </si>
  <si>
    <t>Valor Un. R$ (B)</t>
  </si>
  <si>
    <t>Valor Mensal R$
(D = C/12)</t>
  </si>
  <si>
    <t>Valor Total R$ 
(C = A * B)</t>
  </si>
  <si>
    <t>Valor Mensal R$
(F = E/12)</t>
  </si>
  <si>
    <t>Qtd. Equip. 
(A)</t>
  </si>
  <si>
    <t>Total Mensal (G)</t>
  </si>
  <si>
    <t>Módulo 05 – Insumos Diversos (custo mensal por empregado)</t>
  </si>
  <si>
    <t>Total (E)</t>
  </si>
  <si>
    <t>Quantidade Total de Vigilantes (F)</t>
  </si>
  <si>
    <t>Valor unitário por vigilante (G = E/F)</t>
  </si>
  <si>
    <t>Quantidade Total de Vigilantes (H)</t>
  </si>
  <si>
    <t>Valor unitário por vigilante (I = G/H)</t>
  </si>
  <si>
    <t>(A)</t>
  </si>
  <si>
    <t>Quantidade de equipamentos para o contrato</t>
  </si>
  <si>
    <t>Taxa Anual Depreciação
% (D)</t>
  </si>
  <si>
    <t xml:space="preserve">QUADRO 3 - EQUIPAMENTOS </t>
  </si>
  <si>
    <t>PIS/COFINS - Para empresas de segurança não varia conforme regime tributário - Vide Solução de Consulta nº 345 - Cosit de 26/6/2017 - SRF</t>
  </si>
  <si>
    <t>Fator K - Diferença entre o custo por empregado e a remuneração</t>
  </si>
  <si>
    <t>Valor Mensal R$
(E = C/D)</t>
  </si>
  <si>
    <t>RAT:</t>
  </si>
  <si>
    <t>QUADRO 2 - MATERIAIS</t>
  </si>
  <si>
    <t>QUADRO 1 - UNIFORME E EQUIPAMENTOS DE USO PESSOAL</t>
  </si>
  <si>
    <t>Uniformes e equipamentos de uso pessoal</t>
  </si>
  <si>
    <t>Materiais</t>
  </si>
  <si>
    <t>Pregão</t>
  </si>
  <si>
    <t>15ª</t>
  </si>
  <si>
    <t>Adicional de periculosidade - Lei n.º 12.740/2012 e Portaria n.º 1.885/2013-M.T.E; Cláusula 14ª CCT</t>
  </si>
  <si>
    <t>Sindicato/CBO</t>
  </si>
  <si>
    <t>XXX / CBO 5173</t>
  </si>
  <si>
    <t>Adicional hora noturna reduzida</t>
  </si>
  <si>
    <t xml:space="preserve">Adicional noturno </t>
  </si>
  <si>
    <t>Seguro de vida, invelidez e funeral -  Cl. 18ª da CCT</t>
  </si>
  <si>
    <t>18ª</t>
  </si>
  <si>
    <t>13o. Salário e adicional de férias</t>
  </si>
  <si>
    <t xml:space="preserve">Ausências Legais </t>
  </si>
  <si>
    <t xml:space="preserve">Licença paternidade </t>
  </si>
  <si>
    <t>Auxílio-alimentação [Valor do auxílio alimentação x média dos dias úteis do mês - porcentagem do custo do vale assumido pelo empregado]  - Cl. 15º da CCT</t>
  </si>
  <si>
    <t xml:space="preserve"> </t>
  </si>
  <si>
    <t>Algema</t>
  </si>
  <si>
    <t>Porta algema fechado</t>
  </si>
  <si>
    <t>Coldre</t>
  </si>
  <si>
    <t>Porta munição (baleiro)</t>
  </si>
  <si>
    <t>Cofre pequeno para armas</t>
  </si>
  <si>
    <t>Valor Anual R$ (E = C * D)</t>
  </si>
  <si>
    <t>Apito de metal</t>
  </si>
  <si>
    <t>Cordão apito</t>
  </si>
  <si>
    <t>*Durabilidade estimada de 10 anos para cofre e 5 anos para demais</t>
  </si>
  <si>
    <t xml:space="preserve">Depreciação dos equipamentos </t>
  </si>
  <si>
    <t xml:space="preserve">Multa 40% FGTS s/ Aviso Prévio INDENIZADO </t>
  </si>
  <si>
    <t>Multa 40% FGTS s/ Aviso Prévio TRABALHADO</t>
  </si>
  <si>
    <t>Intervalo trabalhado (hora extra intrajornada)</t>
  </si>
  <si>
    <t>Posto</t>
  </si>
  <si>
    <t>Colete balístico nível II-A no mínimo</t>
  </si>
  <si>
    <t>Lanterna com bateria recarregávele carregador 110 volts, tempo de iluminação ininterrupta de no mínimo 4 horas, resistente a água</t>
  </si>
  <si>
    <t xml:space="preserve">Rádio portátil profissional, HT (handtalk). , com as seguintes características mínimas: 16 Canais, Botões Programáveis, Bloqueio de Canal Ocupado, Canal Exclusivo de Recepção, Transmissão Interna Ativada por Voz (VOX),
Eliminação de Canal Ruidoso, Alerta de Chamada, Limitador de Tempo de
Transmissão, Repetidor / Comunicação Direta, Varredura de Dupla Prioridade, Verificação do Rádio (recepção), Inibição Seletiva do
Rádio (recepção), Alerta de Chamada (recepção), Chamada Seletiva
(recepção), com Carregador, fone de ouvido e 1 Bateria reserva.
</t>
  </si>
  <si>
    <t>Vigência do contrato em meses:</t>
  </si>
  <si>
    <t>Vigência do Acordo, Convenção ou Dissídio Coletivo</t>
  </si>
  <si>
    <t>FAP:</t>
  </si>
  <si>
    <t>ORIENTAÇÃO PARA PREENCHIMENTO DA PLANILHA</t>
  </si>
  <si>
    <t>1 - Selecionar o Regime Tributário</t>
  </si>
  <si>
    <t>2 - Preencher os campos que não possuem fórmula, hachurados em AMARELO</t>
  </si>
  <si>
    <t xml:space="preserve">3ª </t>
  </si>
  <si>
    <t>2020/2022</t>
  </si>
  <si>
    <t>Campo Grande</t>
  </si>
  <si>
    <t>Data base/Cidades</t>
  </si>
  <si>
    <t>01/mar - Campo Grande e Coxim</t>
  </si>
  <si>
    <t>56ª, 55ª</t>
  </si>
  <si>
    <t>Campo Grande e Coxim</t>
  </si>
  <si>
    <t>01 de mar 2020 a 28 fev 2022</t>
  </si>
  <si>
    <t>Campo Grande/MS</t>
  </si>
  <si>
    <t>Assistência médica e familiar - Cl. 56º da CCT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</si>
  <si>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salário,  adicional de férias</t>
    </r>
  </si>
  <si>
    <t>Da ABRAPS saúde - programa familiar e assistência e saúde:</t>
  </si>
  <si>
    <t>Duração do contrato (D)</t>
  </si>
  <si>
    <t>Quantidade para o contrato</t>
  </si>
  <si>
    <t xml:space="preserve">Revolver Calibre 38 </t>
  </si>
  <si>
    <t xml:space="preserve">Cinto de guarnição/cinturão </t>
  </si>
  <si>
    <t>Camisa - Tecido, mínimo 50% algodão - 4 por ano</t>
  </si>
  <si>
    <t>Calçado (par) - na cor preta com solado antiderrapante - 2 por ano</t>
  </si>
  <si>
    <t>Calça -  Tecido, mínimo 50% algodão - 4 por ano</t>
  </si>
  <si>
    <t>Meias (par) - Tipo social de cor preta - material poliamida ou poliester - 4 por ano</t>
  </si>
  <si>
    <t>Cinto social - 1 por ano</t>
  </si>
  <si>
    <t>Japona/ Jaqueta de frio tecido Oxford, nylon ou similar de boa qualidade, forro interno em metalassê e fechamento com zíper - 1 para o contrato</t>
  </si>
  <si>
    <t>Boné ou Quepe  - com identificação da empresa - 2 para o contrato</t>
  </si>
  <si>
    <t>Capa de chuva  - Plástica de cor preta com faixas fluorescentes - 1 para o contrato</t>
  </si>
  <si>
    <t>Crachá - 1 para o  contrato</t>
  </si>
  <si>
    <t>Livro de Ocorrências com 50 páginas - 1 por prédio</t>
  </si>
  <si>
    <t>Fone/ Microfone do tipo PTT de lapela para rádio HT</t>
  </si>
  <si>
    <t>Munição nova   jogo de 10/12 unidades</t>
  </si>
  <si>
    <t>Qtd. p/emp.
(A)</t>
  </si>
  <si>
    <t>Quantidade por empregado</t>
  </si>
  <si>
    <r>
      <t>Salário normativo da Categoria</t>
    </r>
    <r>
      <rPr>
        <sz val="10"/>
        <color indexed="10"/>
        <rFont val="Arial"/>
        <family val="2"/>
      </rPr>
      <t xml:space="preserve"> </t>
    </r>
  </si>
  <si>
    <t xml:space="preserve">Vale-alimentação </t>
  </si>
  <si>
    <t>Feriados - 24/12, 25/12, 31/12, 01/01, 15/09 - Cláusula 32ª CCT</t>
  </si>
  <si>
    <t>OBSERVAÇÃO</t>
  </si>
  <si>
    <t>Se a empresa não for cadastrada no Programa de Alimentação do Trabalhador PAT, deverá encaminhar declaração em que ateste não ser inscrita no referido programa.</t>
  </si>
  <si>
    <t>0003/2022</t>
  </si>
  <si>
    <t>003/2022</t>
  </si>
  <si>
    <t>MS000086/2021</t>
  </si>
  <si>
    <t>CEASA/MS</t>
  </si>
  <si>
    <t>TOTAL</t>
  </si>
  <si>
    <t>VALOR TOTAL PARA UMA VICÊNCIA DE 24 MESES</t>
  </si>
  <si>
    <t>4 - Programa familiar e assistência e saúde: R$ 52,90</t>
  </si>
  <si>
    <t>3 - Vale transporte: R$ 4,40</t>
  </si>
  <si>
    <t>ALGUNS DADOS UTILIZADOS PELA CEASA/MS PARA ESTIMATIVA  DO VALOR DA CONTRATAÇÃO:</t>
  </si>
  <si>
    <t>1 - Salário normativo: R$ 1.415,00</t>
  </si>
  <si>
    <t>2 - Vale alimentação: R$ 27,94</t>
  </si>
  <si>
    <t>13 X 36 NOITE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</si>
</sst>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 &quot;R$ &quot;* #,##0.00_ ;_ &quot;R$ &quot;* \-#,##0.00_ ;_ &quot;R$ &quot;* &quot;-&quot;??_ ;_ @_ "/>
    <numFmt numFmtId="169" formatCode="0.0000"/>
    <numFmt numFmtId="170" formatCode="0.000"/>
    <numFmt numFmtId="171" formatCode="0.00000"/>
    <numFmt numFmtId="172" formatCode="0.0000%"/>
    <numFmt numFmtId="173" formatCode="0.0000000%"/>
    <numFmt numFmtId="174" formatCode="0.00_);\(0.00\)"/>
    <numFmt numFmtId="175" formatCode="[$-416]d\-mmm\-yy;@"/>
    <numFmt numFmtId="176" formatCode="0.0"/>
    <numFmt numFmtId="177" formatCode="0.000%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#,##0.00\ ;&quot; (&quot;#,##0.00\);&quot; -&quot;#\ ;@\ "/>
    <numFmt numFmtId="184" formatCode="#,##0.00_ ;\-#,##0.00\ "/>
    <numFmt numFmtId="185" formatCode="[$-416]dddd\,\ d&quot; de &quot;mmmm&quot; de &quot;yyyy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#,##0;[Red]#,##0"/>
    <numFmt numFmtId="191" formatCode="dd/mm/yy;@"/>
    <numFmt numFmtId="192" formatCode="h:mm;@"/>
    <numFmt numFmtId="193" formatCode="&quot;R$&quot;\ #,##0.00;[Red]&quot;R$&quot;\ #,##0.00"/>
    <numFmt numFmtId="194" formatCode="0;[Red]0"/>
    <numFmt numFmtId="195" formatCode="&quot;R$&quot;\ #,##0.00"/>
    <numFmt numFmtId="196" formatCode="_-[$R$-416]\ * #,##0.00_-;\-[$R$-416]\ * #,##0.00_-;_-[$R$-416]\ * &quot;-&quot;??_-;_-@_-"/>
    <numFmt numFmtId="197" formatCode="#,##0.0"/>
    <numFmt numFmtId="198" formatCode="0.00000%"/>
    <numFmt numFmtId="199" formatCode="_(&quot;R$&quot;* #,##0.00_);_(&quot;R$&quot;* \(#,##0.00\);_(&quot;R$&quot;* &quot;-&quot;??_);_(@_)"/>
    <numFmt numFmtId="200" formatCode="[$R$-416]\ #,##0.00;[Red]\-[$R$-416]\ #,##0.00"/>
    <numFmt numFmtId="201" formatCode="mm/yy"/>
    <numFmt numFmtId="202" formatCode="[$R$-416]#,##0.00;[Red]\-[$R$-416]#,##0.00"/>
    <numFmt numFmtId="203" formatCode="#,##0.000"/>
    <numFmt numFmtId="204" formatCode="&quot; R$ &quot;#,##0.00\ ;&quot; R$ (&quot;#,##0.00\);&quot; R$ -&quot;#\ ;@\ "/>
    <numFmt numFmtId="205" formatCode="00"/>
    <numFmt numFmtId="206" formatCode="#,##0.0000"/>
    <numFmt numFmtId="207" formatCode="&quot; R$&quot;#,##0.00\ ;&quot; R$(&quot;#,##0.00\);&quot; R$-&quot;#\ ;@\ "/>
    <numFmt numFmtId="208" formatCode="&quot;R$ &quot;#,##0.00\ ;&quot;(R$ &quot;#,##0.00\)"/>
    <numFmt numFmtId="209" formatCode="&quot;R$ &quot;#,##0.00"/>
    <numFmt numFmtId="210" formatCode="_(* #,##0.0_);_(* \(#,##0.0\);_(* &quot;-&quot;??_);_(@_)"/>
    <numFmt numFmtId="211" formatCode="_(* #,##0_);_(* \(#,##0\);_(* &quot;-&quot;??_);_(@_)"/>
    <numFmt numFmtId="212" formatCode="0.0000000000"/>
    <numFmt numFmtId="213" formatCode="d/m/yyyy"/>
    <numFmt numFmtId="214" formatCode="#,##0.00_);\(#,##0.00\)"/>
    <numFmt numFmtId="215" formatCode="#,##0_);\(#,##0\)"/>
    <numFmt numFmtId="216" formatCode="&quot;R$ &quot;#,##0.00;[Red]&quot;-R$ &quot;#,##0.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2"/>
      <name val="Times New Roman"/>
      <family val="1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8.5"/>
      <color indexed="3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sz val="10.5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double">
        <color rgb="FF004586"/>
      </top>
      <bottom style="double">
        <color rgb="FF004586"/>
      </bottom>
    </border>
    <border>
      <left/>
      <right style="double">
        <color rgb="FF004586"/>
      </right>
      <top style="double">
        <color rgb="FF004586"/>
      </top>
      <bottom style="double">
        <color rgb="FF00458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>
        <color indexed="63"/>
      </top>
      <bottom style="medium"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4" fontId="0" fillId="0" borderId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61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Border="0" applyAlignment="0" applyProtection="0"/>
    <xf numFmtId="0" fontId="62" fillId="21" borderId="5" applyNumberFormat="0" applyAlignment="0" applyProtection="0"/>
    <xf numFmtId="165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3" borderId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0" applyBorder="0" applyProtection="0">
      <alignment/>
    </xf>
    <xf numFmtId="0" fontId="69" fillId="0" borderId="7" applyProtection="0">
      <alignment/>
    </xf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167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44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9" fontId="0" fillId="0" borderId="0" xfId="73" applyNumberFormat="1" applyFont="1" applyFill="1" applyBorder="1" applyAlignment="1" applyProtection="1">
      <alignment horizontal="right" vertical="center"/>
      <protection/>
    </xf>
    <xf numFmtId="39" fontId="5" fillId="0" borderId="0" xfId="0" applyNumberFormat="1" applyFont="1" applyFill="1" applyBorder="1" applyAlignment="1" applyProtection="1">
      <alignment vertical="center"/>
      <protection/>
    </xf>
    <xf numFmtId="1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9" fontId="13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0" xfId="0" applyNumberFormat="1" applyFont="1" applyAlignment="1" applyProtection="1">
      <alignment/>
      <protection/>
    </xf>
    <xf numFmtId="166" fontId="11" fillId="0" borderId="13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9" fontId="0" fillId="0" borderId="0" xfId="0" applyNumberFormat="1" applyFont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 textRotation="90" wrapText="1"/>
      <protection/>
    </xf>
    <xf numFmtId="166" fontId="0" fillId="0" borderId="0" xfId="73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0" fontId="0" fillId="0" borderId="11" xfId="212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9" fontId="0" fillId="0" borderId="11" xfId="0" applyNumberFormat="1" applyFont="1" applyFill="1" applyBorder="1" applyAlignment="1" applyProtection="1">
      <alignment horizontal="right" vertical="center"/>
      <protection/>
    </xf>
    <xf numFmtId="10" fontId="0" fillId="0" borderId="11" xfId="212" applyNumberFormat="1" applyFont="1" applyFill="1" applyBorder="1" applyAlignment="1" applyProtection="1">
      <alignment horizontal="center" vertical="center"/>
      <protection/>
    </xf>
    <xf numFmtId="3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10" fontId="0" fillId="0" borderId="11" xfId="0" applyNumberFormat="1" applyFont="1" applyBorder="1" applyAlignment="1" applyProtection="1">
      <alignment horizontal="center" vertical="center"/>
      <protection/>
    </xf>
    <xf numFmtId="39" fontId="0" fillId="0" borderId="11" xfId="0" applyNumberFormat="1" applyFont="1" applyFill="1" applyBorder="1" applyAlignment="1" applyProtection="1">
      <alignment vertical="center"/>
      <protection/>
    </xf>
    <xf numFmtId="39" fontId="0" fillId="0" borderId="11" xfId="0" applyNumberFormat="1" applyFont="1" applyBorder="1" applyAlignment="1" applyProtection="1">
      <alignment vertical="center"/>
      <protection/>
    </xf>
    <xf numFmtId="0" fontId="0" fillId="0" borderId="11" xfId="144" applyFont="1" applyBorder="1" applyAlignment="1" applyProtection="1">
      <alignment horizontal="center" vertical="center"/>
      <protection/>
    </xf>
    <xf numFmtId="0" fontId="0" fillId="0" borderId="11" xfId="144" applyFont="1" applyBorder="1" applyAlignment="1" applyProtection="1">
      <alignment vertical="center"/>
      <protection/>
    </xf>
    <xf numFmtId="10" fontId="0" fillId="0" borderId="11" xfId="144" applyNumberFormat="1" applyFont="1" applyBorder="1" applyAlignment="1" applyProtection="1">
      <alignment horizontal="center" vertical="center"/>
      <protection/>
    </xf>
    <xf numFmtId="39" fontId="0" fillId="0" borderId="11" xfId="73" applyNumberFormat="1" applyFont="1" applyFill="1" applyBorder="1" applyAlignment="1" applyProtection="1">
      <alignment horizontal="right" vertical="center"/>
      <protection/>
    </xf>
    <xf numFmtId="9" fontId="0" fillId="0" borderId="11" xfId="212" applyFont="1" applyFill="1" applyBorder="1" applyAlignment="1" applyProtection="1">
      <alignment vertical="center"/>
      <protection/>
    </xf>
    <xf numFmtId="3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3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73" fillId="0" borderId="0" xfId="159" applyFont="1" applyProtection="1">
      <alignment/>
      <protection/>
    </xf>
    <xf numFmtId="0" fontId="20" fillId="0" borderId="0" xfId="159" applyFont="1" applyFill="1" applyAlignment="1" applyProtection="1">
      <alignment horizontal="left"/>
      <protection/>
    </xf>
    <xf numFmtId="0" fontId="19" fillId="0" borderId="0" xfId="159" applyFont="1" applyFill="1" applyBorder="1" applyAlignment="1" applyProtection="1">
      <alignment horizontal="center" vertical="center"/>
      <protection/>
    </xf>
    <xf numFmtId="0" fontId="19" fillId="0" borderId="0" xfId="159" applyFont="1" applyBorder="1" applyAlignment="1" applyProtection="1">
      <alignment vertical="center"/>
      <protection/>
    </xf>
    <xf numFmtId="10" fontId="0" fillId="0" borderId="11" xfId="0" applyNumberFormat="1" applyBorder="1" applyAlignment="1" applyProtection="1">
      <alignment horizontal="right" vertical="center"/>
      <protection/>
    </xf>
    <xf numFmtId="4" fontId="0" fillId="0" borderId="11" xfId="0" applyNumberFormat="1" applyBorder="1" applyAlignment="1" applyProtection="1">
      <alignment horizontal="right" vertical="center"/>
      <protection/>
    </xf>
    <xf numFmtId="39" fontId="0" fillId="0" borderId="11" xfId="0" applyNumberFormat="1" applyBorder="1" applyAlignment="1" applyProtection="1">
      <alignment horizontal="right" vertical="center"/>
      <protection/>
    </xf>
    <xf numFmtId="203" fontId="25" fillId="5" borderId="15" xfId="144" applyNumberFormat="1" applyFont="1" applyFill="1" applyBorder="1" applyAlignment="1" applyProtection="1">
      <alignment horizontal="center" vertical="center"/>
      <protection/>
    </xf>
    <xf numFmtId="180" fontId="25" fillId="5" borderId="15" xfId="144" applyNumberFormat="1" applyFont="1" applyFill="1" applyBorder="1" applyAlignment="1" applyProtection="1">
      <alignment horizontal="center" vertical="center"/>
      <protection/>
    </xf>
    <xf numFmtId="0" fontId="25" fillId="5" borderId="15" xfId="144" applyFont="1" applyFill="1" applyBorder="1" applyAlignment="1" applyProtection="1">
      <alignment horizontal="center" vertical="center"/>
      <protection/>
    </xf>
    <xf numFmtId="10" fontId="25" fillId="5" borderId="15" xfId="144" applyNumberFormat="1" applyFont="1" applyFill="1" applyBorder="1" applyAlignment="1" applyProtection="1">
      <alignment horizontal="center" vertical="center"/>
      <protection/>
    </xf>
    <xf numFmtId="0" fontId="25" fillId="5" borderId="16" xfId="144" applyFont="1" applyFill="1" applyBorder="1" applyAlignment="1" applyProtection="1">
      <alignment vertical="center"/>
      <protection/>
    </xf>
    <xf numFmtId="9" fontId="73" fillId="0" borderId="11" xfId="212" applyFont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0" fillId="35" borderId="0" xfId="0" applyFill="1" applyBorder="1" applyAlignment="1" applyProtection="1">
      <alignment horizontal="center" vertical="center"/>
      <protection/>
    </xf>
    <xf numFmtId="167" fontId="0" fillId="35" borderId="0" xfId="275" applyFont="1" applyFill="1" applyBorder="1" applyAlignment="1" applyProtection="1">
      <alignment vertical="center"/>
      <protection/>
    </xf>
    <xf numFmtId="9" fontId="0" fillId="35" borderId="0" xfId="212" applyFont="1" applyFill="1" applyBorder="1" applyAlignment="1" applyProtection="1">
      <alignment vertical="center"/>
      <protection/>
    </xf>
    <xf numFmtId="198" fontId="0" fillId="35" borderId="0" xfId="212" applyNumberFormat="1" applyFont="1" applyFill="1" applyBorder="1" applyAlignment="1" applyProtection="1">
      <alignment vertical="center"/>
      <protection/>
    </xf>
    <xf numFmtId="0" fontId="73" fillId="36" borderId="11" xfId="159" applyFont="1" applyFill="1" applyBorder="1" applyProtection="1">
      <alignment/>
      <protection/>
    </xf>
    <xf numFmtId="211" fontId="73" fillId="0" borderId="11" xfId="275" applyNumberFormat="1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right" vertical="center" wrapText="1"/>
      <protection/>
    </xf>
    <xf numFmtId="0" fontId="0" fillId="0" borderId="18" xfId="0" applyFont="1" applyFill="1" applyBorder="1" applyAlignment="1" applyProtection="1">
      <alignment horizontal="right" vertical="center" wrapText="1"/>
      <protection/>
    </xf>
    <xf numFmtId="10" fontId="0" fillId="0" borderId="17" xfId="0" applyNumberFormat="1" applyFont="1" applyFill="1" applyBorder="1" applyAlignment="1" applyProtection="1">
      <alignment vertical="center" wrapText="1"/>
      <protection/>
    </xf>
    <xf numFmtId="2" fontId="0" fillId="0" borderId="19" xfId="0" applyNumberFormat="1" applyFont="1" applyFill="1" applyBorder="1" applyAlignment="1" applyProtection="1">
      <alignment vertical="center" wrapText="1"/>
      <protection/>
    </xf>
    <xf numFmtId="39" fontId="0" fillId="0" borderId="11" xfId="73" applyNumberFormat="1" applyFont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73" fillId="36" borderId="11" xfId="159" applyNumberFormat="1" applyFont="1" applyFill="1" applyBorder="1" applyProtection="1">
      <alignment/>
      <protection/>
    </xf>
    <xf numFmtId="167" fontId="0" fillId="0" borderId="0" xfId="275" applyFont="1" applyAlignment="1" applyProtection="1">
      <alignment/>
      <protection/>
    </xf>
    <xf numFmtId="177" fontId="0" fillId="0" borderId="11" xfId="212" applyNumberFormat="1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39" fontId="5" fillId="35" borderId="20" xfId="0" applyNumberFormat="1" applyFont="1" applyFill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/>
      <protection/>
    </xf>
    <xf numFmtId="0" fontId="74" fillId="0" borderId="0" xfId="0" applyFont="1" applyAlignment="1" applyProtection="1" quotePrefix="1">
      <alignment/>
      <protection/>
    </xf>
    <xf numFmtId="0" fontId="74" fillId="0" borderId="0" xfId="0" applyFont="1" applyAlignment="1">
      <alignment/>
    </xf>
    <xf numFmtId="49" fontId="76" fillId="35" borderId="0" xfId="0" applyNumberFormat="1" applyFont="1" applyFill="1" applyBorder="1" applyAlignment="1" applyProtection="1">
      <alignment horizontal="center" vertical="center"/>
      <protection/>
    </xf>
    <xf numFmtId="0" fontId="77" fillId="35" borderId="0" xfId="0" applyFont="1" applyFill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35" borderId="0" xfId="0" applyFont="1" applyFill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/>
      <protection/>
    </xf>
    <xf numFmtId="0" fontId="7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76" fillId="35" borderId="0" xfId="0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184" fontId="74" fillId="35" borderId="0" xfId="0" applyNumberFormat="1" applyFont="1" applyFill="1" applyBorder="1" applyAlignment="1" applyProtection="1">
      <alignment/>
      <protection/>
    </xf>
    <xf numFmtId="2" fontId="74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78" fillId="0" borderId="0" xfId="159" applyFo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211" fontId="73" fillId="35" borderId="11" xfId="275" applyNumberFormat="1" applyFont="1" applyFill="1" applyBorder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73" fillId="0" borderId="19" xfId="159" applyFont="1" applyBorder="1" applyProtection="1">
      <alignment/>
      <protection/>
    </xf>
    <xf numFmtId="9" fontId="73" fillId="0" borderId="11" xfId="212" applyFont="1" applyBorder="1" applyAlignment="1" applyProtection="1">
      <alignment vertical="center"/>
      <protection/>
    </xf>
    <xf numFmtId="0" fontId="74" fillId="35" borderId="0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39" fontId="0" fillId="35" borderId="11" xfId="73" applyNumberFormat="1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9" fillId="35" borderId="0" xfId="159" applyFont="1" applyFill="1" applyProtection="1">
      <alignment/>
      <protection/>
    </xf>
    <xf numFmtId="0" fontId="73" fillId="35" borderId="0" xfId="159" applyFont="1" applyFill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3" fillId="37" borderId="11" xfId="159" applyFont="1" applyFill="1" applyBorder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73" fillId="0" borderId="0" xfId="159" applyFont="1" applyProtection="1">
      <alignment/>
      <protection/>
    </xf>
    <xf numFmtId="0" fontId="19" fillId="38" borderId="21" xfId="159" applyFont="1" applyFill="1" applyBorder="1" applyAlignment="1" applyProtection="1">
      <alignment horizontal="center" vertical="center" wrapText="1"/>
      <protection/>
    </xf>
    <xf numFmtId="0" fontId="19" fillId="38" borderId="11" xfId="159" applyFont="1" applyFill="1" applyBorder="1" applyAlignment="1" applyProtection="1">
      <alignment horizontal="center" vertical="center" wrapText="1"/>
      <protection/>
    </xf>
    <xf numFmtId="0" fontId="73" fillId="0" borderId="0" xfId="159" applyFont="1" applyFill="1" applyProtection="1">
      <alignment/>
      <protection/>
    </xf>
    <xf numFmtId="0" fontId="73" fillId="35" borderId="0" xfId="159" applyFont="1" applyFill="1" applyProtection="1">
      <alignment/>
      <protection/>
    </xf>
    <xf numFmtId="0" fontId="73" fillId="0" borderId="11" xfId="159" applyFont="1" applyBorder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73" fillId="35" borderId="11" xfId="159" applyFont="1" applyFill="1" applyBorder="1" applyProtection="1">
      <alignment/>
      <protection/>
    </xf>
    <xf numFmtId="0" fontId="20" fillId="0" borderId="18" xfId="159" applyFont="1" applyFill="1" applyBorder="1" applyAlignment="1" applyProtection="1">
      <alignment horizontal="center" vertical="center"/>
      <protection/>
    </xf>
    <xf numFmtId="0" fontId="20" fillId="0" borderId="11" xfId="144" applyFont="1" applyBorder="1" applyAlignment="1">
      <alignment vertical="center"/>
      <protection/>
    </xf>
    <xf numFmtId="0" fontId="20" fillId="37" borderId="11" xfId="144" applyFont="1" applyFill="1" applyBorder="1" applyAlignment="1">
      <alignment horizontal="center" vertical="center"/>
      <protection/>
    </xf>
    <xf numFmtId="4" fontId="20" fillId="0" borderId="11" xfId="159" applyNumberFormat="1" applyFont="1" applyFill="1" applyBorder="1" applyAlignment="1" applyProtection="1">
      <alignment horizontal="right" vertical="center"/>
      <protection/>
    </xf>
    <xf numFmtId="0" fontId="20" fillId="35" borderId="11" xfId="144" applyFont="1" applyFill="1" applyBorder="1" applyAlignment="1">
      <alignment vertical="center" wrapText="1"/>
      <protection/>
    </xf>
    <xf numFmtId="0" fontId="20" fillId="37" borderId="11" xfId="144" applyFont="1" applyFill="1" applyBorder="1" applyAlignment="1">
      <alignment horizontal="center" vertical="center" wrapText="1"/>
      <protection/>
    </xf>
    <xf numFmtId="0" fontId="20" fillId="0" borderId="11" xfId="144" applyFont="1" applyBorder="1" applyAlignment="1">
      <alignment vertical="center" wrapText="1"/>
      <protection/>
    </xf>
    <xf numFmtId="0" fontId="20" fillId="0" borderId="11" xfId="159" applyFont="1" applyFill="1" applyBorder="1" applyAlignment="1" applyProtection="1">
      <alignment horizontal="center" vertical="center"/>
      <protection/>
    </xf>
    <xf numFmtId="190" fontId="20" fillId="35" borderId="11" xfId="159" applyNumberFormat="1" applyFont="1" applyFill="1" applyBorder="1" applyAlignment="1" applyProtection="1">
      <alignment horizontal="right" vertical="center"/>
      <protection/>
    </xf>
    <xf numFmtId="0" fontId="73" fillId="0" borderId="11" xfId="0" applyFont="1" applyBorder="1" applyAlignment="1">
      <alignment vertical="center"/>
    </xf>
    <xf numFmtId="190" fontId="20" fillId="0" borderId="11" xfId="159" applyNumberFormat="1" applyFont="1" applyFill="1" applyBorder="1" applyAlignment="1" applyProtection="1">
      <alignment horizontal="right" vertical="center"/>
      <protection/>
    </xf>
    <xf numFmtId="0" fontId="73" fillId="0" borderId="11" xfId="159" applyFont="1" applyBorder="1" applyAlignment="1" applyProtection="1">
      <alignment wrapText="1"/>
      <protection/>
    </xf>
    <xf numFmtId="0" fontId="73" fillId="35" borderId="11" xfId="0" applyFont="1" applyFill="1" applyBorder="1" applyAlignment="1">
      <alignment vertical="center"/>
    </xf>
    <xf numFmtId="4" fontId="20" fillId="0" borderId="11" xfId="159" applyNumberFormat="1" applyFont="1" applyFill="1" applyBorder="1" applyAlignment="1" applyProtection="1">
      <alignment vertical="center"/>
      <protection/>
    </xf>
    <xf numFmtId="0" fontId="73" fillId="0" borderId="11" xfId="144" applyFont="1" applyBorder="1" applyAlignment="1">
      <alignment vertical="center"/>
      <protection/>
    </xf>
    <xf numFmtId="0" fontId="20" fillId="0" borderId="11" xfId="0" applyFont="1" applyBorder="1" applyAlignment="1">
      <alignment vertical="center"/>
    </xf>
    <xf numFmtId="0" fontId="73" fillId="35" borderId="11" xfId="159" applyFont="1" applyFill="1" applyBorder="1" applyAlignment="1" applyProtection="1">
      <alignment horizontal="right" vertical="center"/>
      <protection/>
    </xf>
    <xf numFmtId="0" fontId="80" fillId="0" borderId="11" xfId="0" applyFont="1" applyBorder="1" applyAlignment="1">
      <alignment vertical="center"/>
    </xf>
    <xf numFmtId="0" fontId="73" fillId="0" borderId="11" xfId="159" applyFont="1" applyBorder="1" applyAlignment="1" applyProtection="1">
      <alignment horizontal="right" vertical="center"/>
      <protection/>
    </xf>
    <xf numFmtId="0" fontId="73" fillId="0" borderId="22" xfId="159" applyFont="1" applyBorder="1" applyAlignment="1" applyProtection="1">
      <alignment horizontal="right" vertical="center"/>
      <protection/>
    </xf>
    <xf numFmtId="0" fontId="20" fillId="35" borderId="11" xfId="0" applyFont="1" applyFill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43" fontId="73" fillId="0" borderId="11" xfId="263" applyFont="1" applyBorder="1" applyAlignment="1">
      <alignment/>
    </xf>
    <xf numFmtId="43" fontId="73" fillId="0" borderId="11" xfId="263" applyFont="1" applyBorder="1" applyAlignment="1">
      <alignment vertical="center"/>
    </xf>
    <xf numFmtId="0" fontId="0" fillId="0" borderId="0" xfId="208" applyFont="1" applyProtection="1">
      <alignment/>
      <protection/>
    </xf>
    <xf numFmtId="0" fontId="73" fillId="37" borderId="11" xfId="144" applyFont="1" applyFill="1" applyBorder="1" applyAlignment="1">
      <alignment vertical="center"/>
      <protection/>
    </xf>
    <xf numFmtId="0" fontId="20" fillId="37" borderId="11" xfId="144" applyFont="1" applyFill="1" applyBorder="1" applyAlignment="1">
      <alignment vertical="center" wrapText="1"/>
      <protection/>
    </xf>
    <xf numFmtId="0" fontId="73" fillId="37" borderId="11" xfId="144" applyFont="1" applyFill="1" applyBorder="1" applyAlignment="1">
      <alignment vertical="center" wrapText="1"/>
      <protection/>
    </xf>
    <xf numFmtId="0" fontId="20" fillId="35" borderId="0" xfId="137" applyFont="1" applyFill="1">
      <alignment/>
      <protection/>
    </xf>
    <xf numFmtId="0" fontId="73" fillId="37" borderId="11" xfId="157" applyFont="1" applyFill="1" applyBorder="1">
      <alignment/>
      <protection/>
    </xf>
    <xf numFmtId="167" fontId="0" fillId="37" borderId="11" xfId="275" applyFont="1" applyFill="1" applyBorder="1" applyAlignment="1" applyProtection="1">
      <alignment vertical="center"/>
      <protection/>
    </xf>
    <xf numFmtId="9" fontId="0" fillId="37" borderId="11" xfId="212" applyFont="1" applyFill="1" applyBorder="1" applyAlignment="1" applyProtection="1">
      <alignment vertical="center"/>
      <protection/>
    </xf>
    <xf numFmtId="167" fontId="0" fillId="37" borderId="11" xfId="275" applyFont="1" applyFill="1" applyBorder="1" applyAlignment="1" applyProtection="1">
      <alignment vertical="center"/>
      <protection/>
    </xf>
    <xf numFmtId="177" fontId="0" fillId="37" borderId="11" xfId="212" applyNumberFormat="1" applyFont="1" applyFill="1" applyBorder="1" applyAlignment="1" applyProtection="1">
      <alignment vertical="center"/>
      <protection/>
    </xf>
    <xf numFmtId="10" fontId="0" fillId="37" borderId="11" xfId="212" applyNumberFormat="1" applyFont="1" applyFill="1" applyBorder="1" applyAlignment="1" applyProtection="1">
      <alignment horizontal="center" vertical="center"/>
      <protection/>
    </xf>
    <xf numFmtId="10" fontId="0" fillId="35" borderId="11" xfId="212" applyNumberFormat="1" applyFont="1" applyFill="1" applyBorder="1" applyAlignment="1" applyProtection="1">
      <alignment horizontal="center" vertical="center"/>
      <protection/>
    </xf>
    <xf numFmtId="0" fontId="0" fillId="10" borderId="20" xfId="0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vertical="center"/>
      <protection/>
    </xf>
    <xf numFmtId="0" fontId="74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 vertical="center"/>
      <protection/>
    </xf>
    <xf numFmtId="0" fontId="0" fillId="10" borderId="0" xfId="0" applyFill="1" applyBorder="1" applyAlignment="1" applyProtection="1">
      <alignment wrapText="1"/>
      <protection/>
    </xf>
    <xf numFmtId="0" fontId="0" fillId="10" borderId="0" xfId="0" applyFill="1" applyBorder="1" applyAlignment="1" applyProtection="1">
      <alignment vertical="center"/>
      <protection/>
    </xf>
    <xf numFmtId="0" fontId="0" fillId="10" borderId="11" xfId="0" applyFont="1" applyFill="1" applyBorder="1" applyAlignment="1" applyProtection="1">
      <alignment horizontal="center" vertical="center"/>
      <protection/>
    </xf>
    <xf numFmtId="49" fontId="0" fillId="10" borderId="11" xfId="0" applyNumberFormat="1" applyFont="1" applyFill="1" applyBorder="1" applyAlignment="1" applyProtection="1">
      <alignment horizontal="center" vertical="center"/>
      <protection/>
    </xf>
    <xf numFmtId="0" fontId="0" fillId="10" borderId="20" xfId="0" applyFill="1" applyBorder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/>
      <protection/>
    </xf>
    <xf numFmtId="0" fontId="0" fillId="10" borderId="11" xfId="0" applyFill="1" applyBorder="1" applyAlignment="1" applyProtection="1">
      <alignment wrapText="1"/>
      <protection/>
    </xf>
    <xf numFmtId="0" fontId="0" fillId="10" borderId="11" xfId="0" applyFill="1" applyBorder="1" applyAlignment="1" applyProtection="1">
      <alignment vertical="center"/>
      <protection/>
    </xf>
    <xf numFmtId="0" fontId="11" fillId="10" borderId="20" xfId="144" applyFont="1" applyFill="1" applyBorder="1" applyAlignment="1" applyProtection="1">
      <alignment horizontal="center" vertical="center" wrapText="1"/>
      <protection/>
    </xf>
    <xf numFmtId="0" fontId="0" fillId="10" borderId="20" xfId="0" applyFont="1" applyFill="1" applyBorder="1" applyAlignment="1" applyProtection="1">
      <alignment horizontal="center" vertical="center" wrapText="1"/>
      <protection/>
    </xf>
    <xf numFmtId="0" fontId="0" fillId="10" borderId="11" xfId="0" applyFont="1" applyFill="1" applyBorder="1" applyAlignment="1" applyProtection="1">
      <alignment vertical="center" wrapText="1"/>
      <protection/>
    </xf>
    <xf numFmtId="0" fontId="0" fillId="10" borderId="11" xfId="0" applyFont="1" applyFill="1" applyBorder="1" applyAlignment="1" applyProtection="1">
      <alignment wrapText="1"/>
      <protection/>
    </xf>
    <xf numFmtId="167" fontId="74" fillId="10" borderId="0" xfId="275" applyFont="1" applyFill="1" applyBorder="1" applyAlignment="1" applyProtection="1">
      <alignment vertical="center"/>
      <protection/>
    </xf>
    <xf numFmtId="0" fontId="0" fillId="10" borderId="0" xfId="0" applyFont="1" applyFill="1" applyBorder="1" applyAlignment="1" applyProtection="1">
      <alignment horizontal="left" vertical="center"/>
      <protection/>
    </xf>
    <xf numFmtId="167" fontId="0" fillId="10" borderId="11" xfId="275" applyFont="1" applyFill="1" applyBorder="1" applyAlignment="1" applyProtection="1">
      <alignment vertical="center"/>
      <protection/>
    </xf>
    <xf numFmtId="0" fontId="0" fillId="10" borderId="11" xfId="0" applyFont="1" applyFill="1" applyBorder="1" applyAlignment="1" applyProtection="1">
      <alignment horizontal="right" vertical="center"/>
      <protection/>
    </xf>
    <xf numFmtId="0" fontId="0" fillId="10" borderId="0" xfId="0" applyFont="1" applyFill="1" applyBorder="1" applyAlignment="1" applyProtection="1">
      <alignment/>
      <protection/>
    </xf>
    <xf numFmtId="0" fontId="5" fillId="16" borderId="23" xfId="0" applyFont="1" applyFill="1" applyBorder="1" applyAlignment="1" applyProtection="1">
      <alignment horizontal="center" vertical="center"/>
      <protection/>
    </xf>
    <xf numFmtId="0" fontId="5" fillId="16" borderId="24" xfId="0" applyFont="1" applyFill="1" applyBorder="1" applyAlignment="1" applyProtection="1">
      <alignment horizontal="center" vertical="center"/>
      <protection/>
    </xf>
    <xf numFmtId="0" fontId="5" fillId="16" borderId="25" xfId="0" applyFont="1" applyFill="1" applyBorder="1" applyAlignment="1" applyProtection="1">
      <alignment horizontal="center" vertical="center" wrapText="1"/>
      <protection/>
    </xf>
    <xf numFmtId="0" fontId="5" fillId="16" borderId="25" xfId="0" applyFont="1" applyFill="1" applyBorder="1" applyAlignment="1" applyProtection="1" quotePrefix="1">
      <alignment horizontal="center" vertical="center" wrapText="1"/>
      <protection/>
    </xf>
    <xf numFmtId="4" fontId="5" fillId="16" borderId="23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10" borderId="29" xfId="0" applyFill="1" applyBorder="1" applyAlignment="1" applyProtection="1">
      <alignment/>
      <protection/>
    </xf>
    <xf numFmtId="49" fontId="0" fillId="10" borderId="29" xfId="0" applyNumberFormat="1" applyFont="1" applyFill="1" applyBorder="1" applyAlignment="1" applyProtection="1">
      <alignment horizontal="center" vertical="center"/>
      <protection/>
    </xf>
    <xf numFmtId="0" fontId="0" fillId="10" borderId="29" xfId="0" applyFont="1" applyFill="1" applyBorder="1" applyAlignment="1">
      <alignment/>
    </xf>
    <xf numFmtId="0" fontId="74" fillId="10" borderId="29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10" borderId="31" xfId="0" applyFont="1" applyFill="1" applyBorder="1" applyAlignment="1" applyProtection="1">
      <alignment vertical="center"/>
      <protection/>
    </xf>
    <xf numFmtId="49" fontId="5" fillId="12" borderId="11" xfId="0" applyNumberFormat="1" applyFont="1" applyFill="1" applyBorder="1" applyAlignment="1" applyProtection="1">
      <alignment horizontal="center" vertical="center"/>
      <protection/>
    </xf>
    <xf numFmtId="4" fontId="5" fillId="12" borderId="11" xfId="0" applyNumberFormat="1" applyFont="1" applyFill="1" applyBorder="1" applyAlignment="1" applyProtection="1">
      <alignment vertical="center"/>
      <protection/>
    </xf>
    <xf numFmtId="49" fontId="5" fillId="12" borderId="11" xfId="212" applyNumberFormat="1" applyFont="1" applyFill="1" applyBorder="1" applyAlignment="1" applyProtection="1">
      <alignment horizontal="center" vertical="center"/>
      <protection/>
    </xf>
    <xf numFmtId="10" fontId="5" fillId="12" borderId="11" xfId="212" applyNumberFormat="1" applyFont="1" applyFill="1" applyBorder="1" applyAlignment="1" applyProtection="1">
      <alignment horizontal="center" vertical="center"/>
      <protection/>
    </xf>
    <xf numFmtId="10" fontId="5" fillId="12" borderId="11" xfId="0" applyNumberFormat="1" applyFont="1" applyFill="1" applyBorder="1" applyAlignment="1" applyProtection="1">
      <alignment horizontal="center" vertical="center"/>
      <protection/>
    </xf>
    <xf numFmtId="39" fontId="5" fillId="12" borderId="11" xfId="0" applyNumberFormat="1" applyFont="1" applyFill="1" applyBorder="1" applyAlignment="1" applyProtection="1">
      <alignment vertical="center"/>
      <protection/>
    </xf>
    <xf numFmtId="39" fontId="5" fillId="12" borderId="11" xfId="0" applyNumberFormat="1" applyFont="1" applyFill="1" applyBorder="1" applyAlignment="1" applyProtection="1">
      <alignment horizontal="right" vertical="center" wrapText="1"/>
      <protection/>
    </xf>
    <xf numFmtId="184" fontId="5" fillId="12" borderId="11" xfId="0" applyNumberFormat="1" applyFont="1" applyFill="1" applyBorder="1" applyAlignment="1" applyProtection="1">
      <alignment horizontal="right" vertical="center" wrapText="1"/>
      <protection/>
    </xf>
    <xf numFmtId="206" fontId="25" fillId="5" borderId="0" xfId="144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" fontId="0" fillId="10" borderId="11" xfId="0" applyNumberFormat="1" applyFont="1" applyFill="1" applyBorder="1" applyAlignment="1" applyProtection="1">
      <alignment horizontal="right" vertical="center" wrapText="1"/>
      <protection/>
    </xf>
    <xf numFmtId="10" fontId="0" fillId="1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81" fillId="10" borderId="0" xfId="0" applyFont="1" applyFill="1" applyBorder="1" applyAlignment="1" applyProtection="1">
      <alignment horizontal="center" vertical="center"/>
      <protection/>
    </xf>
    <xf numFmtId="0" fontId="81" fillId="10" borderId="29" xfId="0" applyFont="1" applyFill="1" applyBorder="1" applyAlignment="1" applyProtection="1">
      <alignment horizontal="center" vertical="center"/>
      <protection/>
    </xf>
    <xf numFmtId="0" fontId="0" fillId="10" borderId="11" xfId="0" applyFont="1" applyFill="1" applyBorder="1" applyAlignment="1" applyProtection="1">
      <alignment horizontal="center" vertical="center"/>
      <protection/>
    </xf>
    <xf numFmtId="0" fontId="0" fillId="10" borderId="11" xfId="0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10" borderId="11" xfId="0" applyFont="1" applyFill="1" applyBorder="1" applyAlignment="1" applyProtection="1">
      <alignment horizontal="center" wrapText="1"/>
      <protection/>
    </xf>
    <xf numFmtId="0" fontId="0" fillId="10" borderId="11" xfId="0" applyFont="1" applyFill="1" applyBorder="1" applyAlignment="1" applyProtection="1">
      <alignment horizontal="right" vertical="center"/>
      <protection/>
    </xf>
    <xf numFmtId="49" fontId="0" fillId="37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0" fillId="10" borderId="11" xfId="0" applyFont="1" applyFill="1" applyBorder="1" applyAlignment="1" applyProtection="1">
      <alignment horizontal="right" wrapText="1"/>
      <protection/>
    </xf>
    <xf numFmtId="0" fontId="0" fillId="10" borderId="11" xfId="0" applyFont="1" applyFill="1" applyBorder="1" applyAlignment="1" applyProtection="1">
      <alignment horizontal="right" vertical="center" wrapText="1"/>
      <protection/>
    </xf>
    <xf numFmtId="0" fontId="0" fillId="10" borderId="11" xfId="0" applyFont="1" applyFill="1" applyBorder="1" applyAlignment="1" applyProtection="1">
      <alignment horizontal="center" vertical="center" wrapText="1"/>
      <protection/>
    </xf>
    <xf numFmtId="0" fontId="5" fillId="16" borderId="32" xfId="0" applyFont="1" applyFill="1" applyBorder="1" applyAlignment="1" applyProtection="1">
      <alignment horizontal="right" vertical="center"/>
      <protection/>
    </xf>
    <xf numFmtId="0" fontId="5" fillId="16" borderId="33" xfId="0" applyFont="1" applyFill="1" applyBorder="1" applyAlignment="1" applyProtection="1">
      <alignment horizontal="right" vertical="center"/>
      <protection/>
    </xf>
    <xf numFmtId="0" fontId="5" fillId="16" borderId="34" xfId="0" applyFont="1" applyFill="1" applyBorder="1" applyAlignment="1" applyProtection="1">
      <alignment horizontal="right" vertical="center"/>
      <protection/>
    </xf>
    <xf numFmtId="0" fontId="24" fillId="16" borderId="32" xfId="0" applyFont="1" applyFill="1" applyBorder="1" applyAlignment="1" applyProtection="1">
      <alignment horizontal="center" vertical="center"/>
      <protection/>
    </xf>
    <xf numFmtId="0" fontId="24" fillId="16" borderId="33" xfId="0" applyFont="1" applyFill="1" applyBorder="1" applyAlignment="1" applyProtection="1">
      <alignment horizontal="center" vertical="center"/>
      <protection/>
    </xf>
    <xf numFmtId="0" fontId="24" fillId="16" borderId="34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0" fontId="21" fillId="16" borderId="32" xfId="0" applyFont="1" applyFill="1" applyBorder="1" applyAlignment="1" applyProtection="1">
      <alignment horizontal="center" vertical="center"/>
      <protection/>
    </xf>
    <xf numFmtId="0" fontId="21" fillId="16" borderId="33" xfId="0" applyFont="1" applyFill="1" applyBorder="1" applyAlignment="1" applyProtection="1">
      <alignment horizontal="center" vertical="center"/>
      <protection/>
    </xf>
    <xf numFmtId="0" fontId="21" fillId="16" borderId="34" xfId="0" applyFont="1" applyFill="1" applyBorder="1" applyAlignment="1" applyProtection="1">
      <alignment horizontal="center" vertical="center"/>
      <protection/>
    </xf>
    <xf numFmtId="0" fontId="5" fillId="16" borderId="25" xfId="0" applyFont="1" applyFill="1" applyBorder="1" applyAlignment="1" applyProtection="1">
      <alignment horizontal="center" vertical="center" wrapText="1"/>
      <protection/>
    </xf>
    <xf numFmtId="0" fontId="0" fillId="16" borderId="36" xfId="0" applyFill="1" applyBorder="1" applyAlignment="1">
      <alignment horizontal="center" vertical="center" wrapText="1"/>
    </xf>
    <xf numFmtId="0" fontId="11" fillId="10" borderId="11" xfId="0" applyFont="1" applyFill="1" applyBorder="1" applyAlignment="1" applyProtection="1">
      <alignment horizontal="right" vertical="center" wrapText="1"/>
      <protection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74" fillId="1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10" borderId="11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5" fillId="12" borderId="18" xfId="0" applyFont="1" applyFill="1" applyBorder="1" applyAlignment="1" applyProtection="1">
      <alignment horizontal="left" vertical="center" wrapText="1"/>
      <protection/>
    </xf>
    <xf numFmtId="0" fontId="5" fillId="12" borderId="17" xfId="0" applyFont="1" applyFill="1" applyBorder="1" applyAlignment="1" applyProtection="1">
      <alignment horizontal="left" vertical="center" wrapText="1"/>
      <protection/>
    </xf>
    <xf numFmtId="0" fontId="5" fillId="12" borderId="19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5" fillId="12" borderId="18" xfId="0" applyFont="1" applyFill="1" applyBorder="1" applyAlignment="1" applyProtection="1">
      <alignment horizontal="right" vertical="center"/>
      <protection/>
    </xf>
    <xf numFmtId="0" fontId="5" fillId="12" borderId="17" xfId="0" applyFont="1" applyFill="1" applyBorder="1" applyAlignment="1" applyProtection="1">
      <alignment horizontal="right" vertical="center"/>
      <protection/>
    </xf>
    <xf numFmtId="0" fontId="5" fillId="12" borderId="19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35" borderId="17" xfId="0" applyFont="1" applyFill="1" applyBorder="1" applyAlignment="1" applyProtection="1">
      <alignment horizontal="left" vertical="center"/>
      <protection/>
    </xf>
    <xf numFmtId="0" fontId="0" fillId="35" borderId="1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5" fillId="12" borderId="18" xfId="0" applyFont="1" applyFill="1" applyBorder="1" applyAlignment="1" applyProtection="1">
      <alignment horizontal="center" vertical="center"/>
      <protection/>
    </xf>
    <xf numFmtId="0" fontId="5" fillId="12" borderId="17" xfId="0" applyFont="1" applyFill="1" applyBorder="1" applyAlignment="1" applyProtection="1">
      <alignment horizontal="center" vertical="center"/>
      <protection/>
    </xf>
    <xf numFmtId="0" fontId="5" fillId="12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25" fillId="5" borderId="0" xfId="144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/>
      <protection/>
    </xf>
    <xf numFmtId="14" fontId="5" fillId="10" borderId="17" xfId="0" applyNumberFormat="1" applyFont="1" applyFill="1" applyBorder="1" applyAlignment="1" applyProtection="1">
      <alignment horizontal="center" vertical="center" wrapText="1"/>
      <protection/>
    </xf>
    <xf numFmtId="14" fontId="5" fillId="10" borderId="19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5" fillId="12" borderId="18" xfId="0" applyFont="1" applyFill="1" applyBorder="1" applyAlignment="1" applyProtection="1">
      <alignment horizontal="left" vertical="center"/>
      <protection/>
    </xf>
    <xf numFmtId="0" fontId="5" fillId="12" borderId="17" xfId="0" applyFont="1" applyFill="1" applyBorder="1" applyAlignment="1" applyProtection="1">
      <alignment horizontal="left" vertical="center"/>
      <protection/>
    </xf>
    <xf numFmtId="0" fontId="5" fillId="12" borderId="19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13" borderId="0" xfId="0" applyFont="1" applyFill="1" applyBorder="1" applyAlignment="1" applyProtection="1">
      <alignment horizontal="center" vertical="center" wrapText="1"/>
      <protection/>
    </xf>
    <xf numFmtId="0" fontId="5" fillId="10" borderId="17" xfId="0" applyFont="1" applyFill="1" applyBorder="1" applyAlignment="1" applyProtection="1">
      <alignment horizontal="center" vertical="center" wrapText="1"/>
      <protection/>
    </xf>
    <xf numFmtId="0" fontId="5" fillId="10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16" fontId="17" fillId="0" borderId="17" xfId="0" applyNumberFormat="1" applyFont="1" applyBorder="1" applyAlignment="1" applyProtection="1">
      <alignment horizontal="center"/>
      <protection/>
    </xf>
    <xf numFmtId="16" fontId="17" fillId="0" borderId="19" xfId="0" applyNumberFormat="1" applyFont="1" applyBorder="1" applyAlignment="1" applyProtection="1">
      <alignment horizontal="center"/>
      <protection/>
    </xf>
    <xf numFmtId="49" fontId="5" fillId="10" borderId="17" xfId="73" applyNumberFormat="1" applyFont="1" applyFill="1" applyBorder="1" applyAlignment="1" applyProtection="1">
      <alignment horizontal="center" vertical="center" wrapText="1"/>
      <protection/>
    </xf>
    <xf numFmtId="49" fontId="5" fillId="10" borderId="37" xfId="73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19" fillId="0" borderId="0" xfId="159" applyFont="1" applyBorder="1" applyAlignment="1" applyProtection="1">
      <alignment horizontal="center" vertical="center"/>
      <protection/>
    </xf>
    <xf numFmtId="0" fontId="19" fillId="0" borderId="38" xfId="159" applyFont="1" applyBorder="1" applyAlignment="1" applyProtection="1">
      <alignment horizontal="center"/>
      <protection/>
    </xf>
    <xf numFmtId="0" fontId="20" fillId="0" borderId="11" xfId="159" applyFont="1" applyFill="1" applyBorder="1" applyAlignment="1" applyProtection="1">
      <alignment horizontal="right"/>
      <protection/>
    </xf>
    <xf numFmtId="0" fontId="20" fillId="0" borderId="18" xfId="159" applyFont="1" applyFill="1" applyBorder="1" applyAlignment="1" applyProtection="1">
      <alignment horizontal="right"/>
      <protection/>
    </xf>
    <xf numFmtId="0" fontId="20" fillId="0" borderId="17" xfId="159" applyFont="1" applyFill="1" applyBorder="1" applyAlignment="1" applyProtection="1">
      <alignment horizontal="right"/>
      <protection/>
    </xf>
    <xf numFmtId="0" fontId="20" fillId="0" borderId="19" xfId="159" applyFont="1" applyFill="1" applyBorder="1" applyAlignment="1" applyProtection="1">
      <alignment horizontal="right"/>
      <protection/>
    </xf>
    <xf numFmtId="0" fontId="0" fillId="0" borderId="0" xfId="208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0" fillId="36" borderId="18" xfId="159" applyFont="1" applyFill="1" applyBorder="1" applyAlignment="1" applyProtection="1">
      <alignment horizontal="right"/>
      <protection/>
    </xf>
    <xf numFmtId="0" fontId="20" fillId="36" borderId="17" xfId="159" applyFont="1" applyFill="1" applyBorder="1" applyAlignment="1" applyProtection="1">
      <alignment horizontal="right"/>
      <protection/>
    </xf>
    <xf numFmtId="0" fontId="20" fillId="36" borderId="19" xfId="159" applyFont="1" applyFill="1" applyBorder="1" applyAlignment="1" applyProtection="1">
      <alignment horizontal="right"/>
      <protection/>
    </xf>
    <xf numFmtId="0" fontId="19" fillId="0" borderId="13" xfId="159" applyFont="1" applyBorder="1" applyAlignment="1" applyProtection="1">
      <alignment horizontal="center" vertical="center"/>
      <protection/>
    </xf>
    <xf numFmtId="0" fontId="73" fillId="0" borderId="18" xfId="159" applyFont="1" applyBorder="1" applyAlignment="1" applyProtection="1">
      <alignment horizontal="right"/>
      <protection/>
    </xf>
    <xf numFmtId="0" fontId="73" fillId="0" borderId="17" xfId="159" applyFont="1" applyBorder="1" applyAlignment="1" applyProtection="1">
      <alignment horizontal="right"/>
      <protection/>
    </xf>
    <xf numFmtId="0" fontId="73" fillId="0" borderId="19" xfId="159" applyFont="1" applyBorder="1" applyAlignment="1" applyProtection="1">
      <alignment horizontal="right"/>
      <protection/>
    </xf>
    <xf numFmtId="0" fontId="73" fillId="36" borderId="18" xfId="159" applyFont="1" applyFill="1" applyBorder="1" applyAlignment="1" applyProtection="1">
      <alignment horizontal="right"/>
      <protection/>
    </xf>
    <xf numFmtId="0" fontId="73" fillId="36" borderId="17" xfId="159" applyFont="1" applyFill="1" applyBorder="1" applyAlignment="1" applyProtection="1">
      <alignment horizontal="right"/>
      <protection/>
    </xf>
    <xf numFmtId="0" fontId="73" fillId="36" borderId="19" xfId="159" applyFont="1" applyFill="1" applyBorder="1" applyAlignment="1" applyProtection="1">
      <alignment horizontal="right"/>
      <protection/>
    </xf>
    <xf numFmtId="14" fontId="12" fillId="0" borderId="11" xfId="0" applyNumberFormat="1" applyFont="1" applyBorder="1" applyAlignment="1" applyProtection="1">
      <alignment horizontal="center"/>
      <protection/>
    </xf>
  </cellXfs>
  <cellStyles count="2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Hyperlink 2" xfId="47"/>
    <cellStyle name="Hyperlink 2 10" xfId="48"/>
    <cellStyle name="Hyperlink 2 11" xfId="49"/>
    <cellStyle name="Hyperlink 2 12" xfId="50"/>
    <cellStyle name="Hyperlink 2 13" xfId="51"/>
    <cellStyle name="Hyperlink 2 14" xfId="52"/>
    <cellStyle name="Hyperlink 2 15" xfId="53"/>
    <cellStyle name="Hyperlink 2 16" xfId="54"/>
    <cellStyle name="Hyperlink 2 17" xfId="55"/>
    <cellStyle name="Hyperlink 2 18" xfId="56"/>
    <cellStyle name="Hyperlink 2 19" xfId="57"/>
    <cellStyle name="Hyperlink 2 2" xfId="58"/>
    <cellStyle name="Hyperlink 2 20" xfId="59"/>
    <cellStyle name="Hyperlink 2 21" xfId="60"/>
    <cellStyle name="Hyperlink 2 22" xfId="61"/>
    <cellStyle name="Hyperlink 2 23" xfId="62"/>
    <cellStyle name="Hyperlink 2 24" xfId="63"/>
    <cellStyle name="Hyperlink 2 25" xfId="64"/>
    <cellStyle name="Hyperlink 2 3" xfId="65"/>
    <cellStyle name="Hyperlink 2 4" xfId="66"/>
    <cellStyle name="Hyperlink 2 5" xfId="67"/>
    <cellStyle name="Hyperlink 2 6" xfId="68"/>
    <cellStyle name="Hyperlink 2 7" xfId="69"/>
    <cellStyle name="Hyperlink 2 8" xfId="70"/>
    <cellStyle name="Hyperlink 2 9" xfId="71"/>
    <cellStyle name="Incorreto" xfId="72"/>
    <cellStyle name="Currency" xfId="73"/>
    <cellStyle name="Currency [0]" xfId="74"/>
    <cellStyle name="Moeda 10" xfId="75"/>
    <cellStyle name="Moeda 11" xfId="76"/>
    <cellStyle name="Moeda 12" xfId="77"/>
    <cellStyle name="Moeda 13" xfId="78"/>
    <cellStyle name="Moeda 14" xfId="79"/>
    <cellStyle name="Moeda 15" xfId="80"/>
    <cellStyle name="Moeda 16" xfId="81"/>
    <cellStyle name="Moeda 17" xfId="82"/>
    <cellStyle name="Moeda 18" xfId="83"/>
    <cellStyle name="Moeda 19" xfId="84"/>
    <cellStyle name="Moeda 2" xfId="85"/>
    <cellStyle name="Moeda 2 2" xfId="86"/>
    <cellStyle name="Moeda 2 3" xfId="87"/>
    <cellStyle name="Moeda 2 4" xfId="88"/>
    <cellStyle name="Moeda 2 5" xfId="89"/>
    <cellStyle name="Moeda 2 6" xfId="90"/>
    <cellStyle name="Moeda 2 7" xfId="91"/>
    <cellStyle name="Moeda 20" xfId="92"/>
    <cellStyle name="Moeda 21" xfId="93"/>
    <cellStyle name="Moeda 22" xfId="94"/>
    <cellStyle name="Moeda 23" xfId="95"/>
    <cellStyle name="Moeda 24" xfId="96"/>
    <cellStyle name="Moeda 25" xfId="97"/>
    <cellStyle name="Moeda 26" xfId="98"/>
    <cellStyle name="Moeda 27" xfId="99"/>
    <cellStyle name="Moeda 28" xfId="100"/>
    <cellStyle name="Moeda 3" xfId="101"/>
    <cellStyle name="Moeda 3 10" xfId="102"/>
    <cellStyle name="Moeda 3 11" xfId="103"/>
    <cellStyle name="Moeda 3 12" xfId="104"/>
    <cellStyle name="Moeda 3 13" xfId="105"/>
    <cellStyle name="Moeda 3 14" xfId="106"/>
    <cellStyle name="Moeda 3 15" xfId="107"/>
    <cellStyle name="Moeda 3 16" xfId="108"/>
    <cellStyle name="Moeda 3 17" xfId="109"/>
    <cellStyle name="Moeda 3 18" xfId="110"/>
    <cellStyle name="Moeda 3 19" xfId="111"/>
    <cellStyle name="Moeda 3 2" xfId="112"/>
    <cellStyle name="Moeda 3 20" xfId="113"/>
    <cellStyle name="Moeda 3 21" xfId="114"/>
    <cellStyle name="Moeda 3 22" xfId="115"/>
    <cellStyle name="Moeda 3 23" xfId="116"/>
    <cellStyle name="Moeda 3 24" xfId="117"/>
    <cellStyle name="Moeda 3 25" xfId="118"/>
    <cellStyle name="Moeda 3 3" xfId="119"/>
    <cellStyle name="Moeda 3 4" xfId="120"/>
    <cellStyle name="Moeda 3 5" xfId="121"/>
    <cellStyle name="Moeda 3 6" xfId="122"/>
    <cellStyle name="Moeda 3 7" xfId="123"/>
    <cellStyle name="Moeda 3 8" xfId="124"/>
    <cellStyle name="Moeda 3 9" xfId="125"/>
    <cellStyle name="Moeda 4" xfId="126"/>
    <cellStyle name="Moeda 5" xfId="127"/>
    <cellStyle name="Moeda 5 2" xfId="128"/>
    <cellStyle name="Moeda 6" xfId="129"/>
    <cellStyle name="Moeda 7" xfId="130"/>
    <cellStyle name="Moeda 8" xfId="131"/>
    <cellStyle name="Moeda 9" xfId="132"/>
    <cellStyle name="Neutra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 2" xfId="145"/>
    <cellStyle name="Normal 2 3" xfId="146"/>
    <cellStyle name="Normal 2 4" xfId="147"/>
    <cellStyle name="Normal 2 5" xfId="148"/>
    <cellStyle name="Normal 2 6" xfId="149"/>
    <cellStyle name="Normal 2 7" xfId="150"/>
    <cellStyle name="Normal 20" xfId="151"/>
    <cellStyle name="Normal 21" xfId="152"/>
    <cellStyle name="Normal 22" xfId="153"/>
    <cellStyle name="Normal 23" xfId="154"/>
    <cellStyle name="Normal 24" xfId="155"/>
    <cellStyle name="Normal 25" xfId="156"/>
    <cellStyle name="Normal 26" xfId="157"/>
    <cellStyle name="Normal 27" xfId="158"/>
    <cellStyle name="Normal 3" xfId="159"/>
    <cellStyle name="Normal 3 2" xfId="160"/>
    <cellStyle name="Normal 4" xfId="161"/>
    <cellStyle name="Normal 4 10" xfId="162"/>
    <cellStyle name="Normal 4 11" xfId="163"/>
    <cellStyle name="Normal 4 12" xfId="164"/>
    <cellStyle name="Normal 4 13" xfId="165"/>
    <cellStyle name="Normal 4 14" xfId="166"/>
    <cellStyle name="Normal 4 15" xfId="167"/>
    <cellStyle name="Normal 4 16" xfId="168"/>
    <cellStyle name="Normal 4 17" xfId="169"/>
    <cellStyle name="Normal 4 18" xfId="170"/>
    <cellStyle name="Normal 4 19" xfId="171"/>
    <cellStyle name="Normal 4 2" xfId="172"/>
    <cellStyle name="Normal 4 20" xfId="173"/>
    <cellStyle name="Normal 4 21" xfId="174"/>
    <cellStyle name="Normal 4 22" xfId="175"/>
    <cellStyle name="Normal 4 23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10" xfId="185"/>
    <cellStyle name="Normal 5 11" xfId="186"/>
    <cellStyle name="Normal 5 12" xfId="187"/>
    <cellStyle name="Normal 5 13" xfId="188"/>
    <cellStyle name="Normal 5 14" xfId="189"/>
    <cellStyle name="Normal 5 15" xfId="190"/>
    <cellStyle name="Normal 5 16" xfId="191"/>
    <cellStyle name="Normal 5 17" xfId="192"/>
    <cellStyle name="Normal 5 18" xfId="193"/>
    <cellStyle name="Normal 5 19" xfId="194"/>
    <cellStyle name="Normal 5 2" xfId="195"/>
    <cellStyle name="Normal 5 20" xfId="196"/>
    <cellStyle name="Normal 5 21" xfId="197"/>
    <cellStyle name="Normal 5 22" xfId="198"/>
    <cellStyle name="Normal 5 23" xfId="199"/>
    <cellStyle name="Normal 5 3" xfId="200"/>
    <cellStyle name="Normal 5 4" xfId="201"/>
    <cellStyle name="Normal 5 5" xfId="202"/>
    <cellStyle name="Normal 5 6" xfId="203"/>
    <cellStyle name="Normal 5 7" xfId="204"/>
    <cellStyle name="Normal 5 8" xfId="205"/>
    <cellStyle name="Normal 5 9" xfId="206"/>
    <cellStyle name="Normal 6" xfId="207"/>
    <cellStyle name="Normal 7" xfId="208"/>
    <cellStyle name="Normal 8" xfId="209"/>
    <cellStyle name="Normal 9" xfId="210"/>
    <cellStyle name="Nota" xfId="211"/>
    <cellStyle name="Percent" xfId="212"/>
    <cellStyle name="Porcentagem 2" xfId="213"/>
    <cellStyle name="Porcentagem 2 2" xfId="214"/>
    <cellStyle name="Porcentagem 3" xfId="215"/>
    <cellStyle name="Porcentagem 4" xfId="216"/>
    <cellStyle name="Saída" xfId="217"/>
    <cellStyle name="Comma [0]" xfId="218"/>
    <cellStyle name="Separador de milhares 10" xfId="219"/>
    <cellStyle name="Separador de milhares 11" xfId="220"/>
    <cellStyle name="Separador de milhares 12" xfId="221"/>
    <cellStyle name="Separador de milhares 13" xfId="222"/>
    <cellStyle name="Separador de milhares 14" xfId="223"/>
    <cellStyle name="Separador de milhares 15" xfId="224"/>
    <cellStyle name="Separador de milhares 16" xfId="225"/>
    <cellStyle name="Separador de milhares 17" xfId="226"/>
    <cellStyle name="Separador de milhares 18" xfId="227"/>
    <cellStyle name="Separador de milhares 19" xfId="228"/>
    <cellStyle name="Separador de milhares 2" xfId="229"/>
    <cellStyle name="Separador de milhares 2 10" xfId="230"/>
    <cellStyle name="Separador de milhares 2 11" xfId="231"/>
    <cellStyle name="Separador de milhares 2 12" xfId="232"/>
    <cellStyle name="Separador de milhares 2 13" xfId="233"/>
    <cellStyle name="Separador de milhares 2 14" xfId="234"/>
    <cellStyle name="Separador de milhares 2 15" xfId="235"/>
    <cellStyle name="Separador de milhares 2 16" xfId="236"/>
    <cellStyle name="Separador de milhares 2 17" xfId="237"/>
    <cellStyle name="Separador de milhares 2 18" xfId="238"/>
    <cellStyle name="Separador de milhares 2 19" xfId="239"/>
    <cellStyle name="Separador de milhares 2 2" xfId="240"/>
    <cellStyle name="Separador de milhares 2 20" xfId="241"/>
    <cellStyle name="Separador de milhares 2 21" xfId="242"/>
    <cellStyle name="Separador de milhares 2 22" xfId="243"/>
    <cellStyle name="Separador de milhares 2 23" xfId="244"/>
    <cellStyle name="Separador de milhares 2 3" xfId="245"/>
    <cellStyle name="Separador de milhares 2 4" xfId="246"/>
    <cellStyle name="Separador de milhares 2 5" xfId="247"/>
    <cellStyle name="Separador de milhares 2 6" xfId="248"/>
    <cellStyle name="Separador de milhares 2 7" xfId="249"/>
    <cellStyle name="Separador de milhares 2 8" xfId="250"/>
    <cellStyle name="Separador de milhares 2 9" xfId="251"/>
    <cellStyle name="Separador de milhares 20" xfId="252"/>
    <cellStyle name="Separador de milhares 21" xfId="253"/>
    <cellStyle name="Separador de milhares 22" xfId="254"/>
    <cellStyle name="Separador de milhares 23" xfId="255"/>
    <cellStyle name="Separador de milhares 24" xfId="256"/>
    <cellStyle name="Separador de milhares 3" xfId="257"/>
    <cellStyle name="Separador de milhares 4" xfId="258"/>
    <cellStyle name="Separador de milhares 5" xfId="259"/>
    <cellStyle name="Separador de milhares 6" xfId="260"/>
    <cellStyle name="Separador de milhares 7" xfId="261"/>
    <cellStyle name="Separador de milhares 8" xfId="262"/>
    <cellStyle name="Separador de milhares 9" xfId="263"/>
    <cellStyle name="Texto de Aviso" xfId="264"/>
    <cellStyle name="Texto Explicativo" xfId="265"/>
    <cellStyle name="Texto Explicativo 2" xfId="266"/>
    <cellStyle name="Título" xfId="267"/>
    <cellStyle name="Título 1" xfId="268"/>
    <cellStyle name="Título 1 1" xfId="269"/>
    <cellStyle name="Título 1 1 1" xfId="270"/>
    <cellStyle name="Título 2" xfId="271"/>
    <cellStyle name="Título 3" xfId="272"/>
    <cellStyle name="Título 4" xfId="273"/>
    <cellStyle name="Total" xfId="274"/>
    <cellStyle name="Comma" xfId="275"/>
    <cellStyle name="Vírgula 2" xfId="276"/>
    <cellStyle name="Vírgula 2 2" xfId="277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JSP-ADM-NUCT\SUAN\PLANILHAS\MODELOS\MODELO%20VIGIL&#19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PROPOSTA COMERCIAL"/>
      <sheetName val="SÃO PAULO E GUARULHOS"/>
      <sheetName val="UNIFORME E EQUIPAMENTOS - SP-GR"/>
      <sheetName val="SÃO PAULO - FEMININO"/>
      <sheetName val="UNIFORME E EQUIPAMENTOS - SP-FE"/>
      <sheetName val="SÃO PAULO - NOTURNO"/>
      <sheetName val="UNIFORME E EQUIPAMENTOS - SP NO"/>
      <sheetName val="SANTOS"/>
      <sheetName val="UNIFORME E EQUIPAMENTOS SANTOS"/>
      <sheetName val="CV RESUMO"/>
      <sheetName val="CV PEDRO LESSA"/>
      <sheetName val="CV CRIMINAL"/>
      <sheetName val="CV EXECUÇÕES FISCAIS"/>
      <sheetName val="CV JEF"/>
      <sheetName val="CV JEF FEMININO"/>
      <sheetName val="CV JEF NOTURNO"/>
      <sheetName val="CV PRESIDENTE WILSON"/>
      <sheetName val="CV PRESIDENTE WILSON NOT"/>
      <sheetName val="CV SEDE ADMINISTRATIVA"/>
      <sheetName val="CV GUARULHOS"/>
      <sheetName val="CV SANTOS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D21" sqref="D21"/>
    </sheetView>
  </sheetViews>
  <sheetFormatPr defaultColWidth="9.140625" defaultRowHeight="12.75"/>
  <sheetData>
    <row r="2" ht="12.75">
      <c r="A2" s="135" t="s">
        <v>177</v>
      </c>
    </row>
    <row r="3" ht="12.75">
      <c r="A3" t="s">
        <v>178</v>
      </c>
    </row>
    <row r="4" ht="12.75">
      <c r="A4" t="s">
        <v>179</v>
      </c>
    </row>
    <row r="6" spans="1:11" ht="12.75">
      <c r="A6" s="232" t="s">
        <v>223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ht="12.75">
      <c r="A7" s="136" t="s">
        <v>224</v>
      </c>
    </row>
    <row r="8" ht="12.75">
      <c r="A8" s="136" t="s">
        <v>225</v>
      </c>
    </row>
    <row r="9" ht="12.75">
      <c r="A9" s="136" t="s">
        <v>222</v>
      </c>
    </row>
    <row r="10" ht="12.75">
      <c r="A10" s="136" t="s">
        <v>221</v>
      </c>
    </row>
    <row r="11" ht="12.75">
      <c r="A11" s="136"/>
    </row>
    <row r="12" ht="12.75">
      <c r="A12" s="136"/>
    </row>
    <row r="14" ht="12.75">
      <c r="A14" s="135" t="s">
        <v>213</v>
      </c>
    </row>
    <row r="15" ht="12.75">
      <c r="A15" s="136" t="s">
        <v>214</v>
      </c>
    </row>
  </sheetData>
  <sheetProtection/>
  <mergeCells count="1">
    <mergeCell ref="A6:K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O85"/>
  <sheetViews>
    <sheetView showGridLines="0" zoomScale="90" zoomScaleNormal="90" zoomScaleSheetLayoutView="75" workbookViewId="0" topLeftCell="A1">
      <selection activeCell="C42" sqref="C42"/>
    </sheetView>
  </sheetViews>
  <sheetFormatPr defaultColWidth="9.140625" defaultRowHeight="12.75"/>
  <cols>
    <col min="1" max="1" width="8.7109375" style="64" customWidth="1"/>
    <col min="2" max="2" width="16.00390625" style="64" customWidth="1"/>
    <col min="3" max="3" width="28.7109375" style="64" customWidth="1"/>
    <col min="4" max="4" width="9.7109375" style="64" customWidth="1"/>
    <col min="5" max="5" width="13.28125" style="64" customWidth="1"/>
    <col min="6" max="6" width="11.8515625" style="64" customWidth="1"/>
    <col min="7" max="7" width="3.421875" style="64" customWidth="1"/>
    <col min="8" max="8" width="17.28125" style="64" customWidth="1"/>
    <col min="9" max="9" width="23.421875" style="64" customWidth="1"/>
    <col min="10" max="10" width="12.140625" style="64" customWidth="1"/>
    <col min="11" max="11" width="12.8515625" style="64" customWidth="1"/>
    <col min="12" max="12" width="14.7109375" style="64" customWidth="1"/>
    <col min="13" max="13" width="18.7109375" style="64" customWidth="1"/>
    <col min="14" max="14" width="18.00390625" style="64" customWidth="1"/>
    <col min="15" max="15" width="10.28125" style="64" bestFit="1" customWidth="1"/>
    <col min="16" max="16384" width="9.140625" style="64" customWidth="1"/>
  </cols>
  <sheetData>
    <row r="1" ht="19.5" customHeight="1" thickBot="1"/>
    <row r="2" spans="1:14" ht="32.25" customHeight="1" thickBot="1">
      <c r="A2" s="233" t="s">
        <v>52</v>
      </c>
      <c r="B2" s="233"/>
      <c r="C2" s="233"/>
      <c r="D2" s="233"/>
      <c r="E2" s="233"/>
      <c r="F2" s="234"/>
      <c r="H2" s="249" t="str">
        <f>"Processo Administrativo: "&amp;C4&amp;" - Pregão Eletrônico nº: "&amp;C5</f>
        <v>Processo Administrativo: 0003/2022 - Pregão Eletrônico nº: 003/2022</v>
      </c>
      <c r="I2" s="250"/>
      <c r="J2" s="250"/>
      <c r="K2" s="250"/>
      <c r="L2" s="250"/>
      <c r="M2" s="250"/>
      <c r="N2" s="251"/>
    </row>
    <row r="3" spans="1:14" ht="12.75" customHeight="1" thickBot="1">
      <c r="A3" s="183"/>
      <c r="B3" s="184"/>
      <c r="C3" s="185"/>
      <c r="D3" s="185"/>
      <c r="E3" s="185"/>
      <c r="F3" s="214"/>
      <c r="H3" s="252"/>
      <c r="I3" s="252"/>
      <c r="J3" s="252"/>
      <c r="K3" s="252"/>
      <c r="L3" s="252"/>
      <c r="M3" s="252"/>
      <c r="N3" s="252"/>
    </row>
    <row r="4" spans="1:14" ht="39" customHeight="1" thickBot="1">
      <c r="A4" s="183"/>
      <c r="B4" s="219" t="s">
        <v>35</v>
      </c>
      <c r="C4" s="259" t="s">
        <v>215</v>
      </c>
      <c r="D4" s="259"/>
      <c r="E4" s="259"/>
      <c r="F4" s="214"/>
      <c r="H4" s="253" t="str">
        <f>"Cálculos realizados com regime tributário "&amp;IF(TOTALIZAÇÃO!B8=1,"Lucro Real",IF(TOTALIZAÇÃO!B8=2,"Lucro Presumido","Simples Nacional"))</f>
        <v>Cálculos realizados com regime tributário Lucro Real</v>
      </c>
      <c r="I4" s="254"/>
      <c r="J4" s="254"/>
      <c r="K4" s="254"/>
      <c r="L4" s="254"/>
      <c r="M4" s="254"/>
      <c r="N4" s="255"/>
    </row>
    <row r="5" spans="1:15" ht="52.5" customHeight="1" thickBot="1">
      <c r="A5" s="183"/>
      <c r="B5" s="186" t="s">
        <v>143</v>
      </c>
      <c r="C5" s="240" t="s">
        <v>216</v>
      </c>
      <c r="D5" s="240"/>
      <c r="E5" s="240"/>
      <c r="F5" s="214"/>
      <c r="H5" s="206" t="s">
        <v>29</v>
      </c>
      <c r="I5" s="207" t="s">
        <v>30</v>
      </c>
      <c r="J5" s="208" t="s">
        <v>59</v>
      </c>
      <c r="K5" s="208" t="s">
        <v>60</v>
      </c>
      <c r="L5" s="209" t="s">
        <v>61</v>
      </c>
      <c r="M5" s="208" t="s">
        <v>69</v>
      </c>
      <c r="N5" s="208" t="s">
        <v>62</v>
      </c>
      <c r="O5" s="127"/>
    </row>
    <row r="6" spans="1:15" ht="13.5" customHeight="1">
      <c r="A6" s="183"/>
      <c r="B6" s="185"/>
      <c r="C6" s="185"/>
      <c r="D6" s="185"/>
      <c r="E6" s="185"/>
      <c r="F6" s="214"/>
      <c r="H6" s="256" t="s">
        <v>218</v>
      </c>
      <c r="I6" s="15" t="s">
        <v>37</v>
      </c>
      <c r="J6" s="99">
        <v>1</v>
      </c>
      <c r="K6" s="28">
        <v>2</v>
      </c>
      <c r="L6" s="28">
        <f>J6*K6</f>
        <v>2</v>
      </c>
      <c r="M6" s="29">
        <f>CEASA!H101</f>
        <v>0</v>
      </c>
      <c r="N6" s="29">
        <f>L6*M6</f>
        <v>0</v>
      </c>
      <c r="O6" s="100"/>
    </row>
    <row r="7" spans="1:15" ht="13.5" customHeight="1" thickBot="1">
      <c r="A7" s="183"/>
      <c r="B7" s="260" t="s">
        <v>53</v>
      </c>
      <c r="C7" s="260"/>
      <c r="D7" s="185"/>
      <c r="E7" s="187"/>
      <c r="F7" s="214"/>
      <c r="H7" s="257"/>
      <c r="I7" s="15" t="s">
        <v>38</v>
      </c>
      <c r="J7" s="99">
        <v>2</v>
      </c>
      <c r="K7" s="28">
        <v>2</v>
      </c>
      <c r="L7" s="28">
        <f>J7*K7</f>
        <v>4</v>
      </c>
      <c r="M7" s="29">
        <f>CEASA!I101</f>
        <v>0</v>
      </c>
      <c r="N7" s="29">
        <f>L7*M7</f>
        <v>0</v>
      </c>
      <c r="O7" s="100"/>
    </row>
    <row r="8" spans="1:15" ht="28.5" customHeight="1" thickBot="1">
      <c r="A8" s="197" t="s">
        <v>63</v>
      </c>
      <c r="B8" s="188">
        <v>1</v>
      </c>
      <c r="C8" s="189"/>
      <c r="D8" s="190"/>
      <c r="E8" s="190"/>
      <c r="F8" s="214"/>
      <c r="H8" s="257"/>
      <c r="I8" s="246" t="s">
        <v>219</v>
      </c>
      <c r="J8" s="247"/>
      <c r="K8" s="248"/>
      <c r="L8" s="206">
        <f>SUM(L6:L7)</f>
        <v>6</v>
      </c>
      <c r="M8" s="210"/>
      <c r="N8" s="210">
        <v>0</v>
      </c>
      <c r="O8" s="100"/>
    </row>
    <row r="9" spans="1:15" ht="33" customHeight="1" thickBot="1">
      <c r="A9" s="197" t="s">
        <v>64</v>
      </c>
      <c r="B9" s="194" t="s">
        <v>44</v>
      </c>
      <c r="C9" s="191" t="s">
        <v>183</v>
      </c>
      <c r="D9" s="235" t="s">
        <v>65</v>
      </c>
      <c r="E9" s="235"/>
      <c r="F9" s="214"/>
      <c r="H9" s="257"/>
      <c r="I9" s="246" t="s">
        <v>220</v>
      </c>
      <c r="J9" s="247"/>
      <c r="K9" s="247"/>
      <c r="L9" s="247"/>
      <c r="M9" s="247"/>
      <c r="N9" s="210">
        <f>N8*24</f>
        <v>0</v>
      </c>
      <c r="O9" s="100"/>
    </row>
    <row r="10" spans="1:6" ht="22.5">
      <c r="A10" s="197" t="s">
        <v>54</v>
      </c>
      <c r="B10" s="191" t="s">
        <v>181</v>
      </c>
      <c r="C10" s="192" t="s">
        <v>184</v>
      </c>
      <c r="D10" s="235" t="s">
        <v>217</v>
      </c>
      <c r="E10" s="235"/>
      <c r="F10" s="215"/>
    </row>
    <row r="11" spans="1:6" ht="13.5" customHeight="1">
      <c r="A11" s="198"/>
      <c r="B11" s="258" t="s">
        <v>174</v>
      </c>
      <c r="C11" s="258"/>
      <c r="D11" s="194">
        <v>24</v>
      </c>
      <c r="E11" s="185"/>
      <c r="F11" s="214"/>
    </row>
    <row r="12" spans="1:6" ht="13.5" customHeight="1">
      <c r="A12" s="183"/>
      <c r="B12" s="194" t="s">
        <v>47</v>
      </c>
      <c r="C12" s="195" t="s">
        <v>45</v>
      </c>
      <c r="D12" s="196" t="s">
        <v>46</v>
      </c>
      <c r="E12" s="185"/>
      <c r="F12" s="214"/>
    </row>
    <row r="13" spans="1:6" ht="33" customHeight="1">
      <c r="A13" s="193"/>
      <c r="B13" s="191" t="s">
        <v>180</v>
      </c>
      <c r="C13" s="199" t="s">
        <v>210</v>
      </c>
      <c r="D13" s="177"/>
      <c r="E13" s="201"/>
      <c r="F13" s="214"/>
    </row>
    <row r="14" spans="1:6" ht="13.5" customHeight="1">
      <c r="A14" s="193"/>
      <c r="B14" s="194"/>
      <c r="C14" s="200"/>
      <c r="D14" s="203"/>
      <c r="E14" s="187"/>
      <c r="F14" s="214"/>
    </row>
    <row r="15" spans="1:6" ht="13.5" customHeight="1">
      <c r="A15" s="183"/>
      <c r="B15" s="191" t="s">
        <v>144</v>
      </c>
      <c r="C15" s="200" t="s">
        <v>211</v>
      </c>
      <c r="D15" s="177"/>
      <c r="E15" s="185"/>
      <c r="F15" s="214"/>
    </row>
    <row r="16" spans="1:6" ht="13.5" customHeight="1">
      <c r="A16" s="183"/>
      <c r="B16" s="245" t="s">
        <v>48</v>
      </c>
      <c r="C16" s="238" t="s">
        <v>49</v>
      </c>
      <c r="D16" s="238"/>
      <c r="E16" s="185"/>
      <c r="F16" s="214"/>
    </row>
    <row r="17" spans="1:6" ht="13.5" customHeight="1">
      <c r="A17" s="183"/>
      <c r="B17" s="245"/>
      <c r="C17" s="200" t="s">
        <v>182</v>
      </c>
      <c r="D17" s="177"/>
      <c r="E17" s="185"/>
      <c r="F17" s="214"/>
    </row>
    <row r="18" spans="1:6" ht="13.5" customHeight="1">
      <c r="A18" s="183"/>
      <c r="B18" s="245"/>
      <c r="C18" s="200"/>
      <c r="D18" s="177"/>
      <c r="E18" s="185"/>
      <c r="F18" s="214"/>
    </row>
    <row r="19" spans="1:6" ht="12.75">
      <c r="A19" s="183"/>
      <c r="B19" s="191" t="s">
        <v>151</v>
      </c>
      <c r="C19" s="200" t="s">
        <v>50</v>
      </c>
      <c r="D19" s="177"/>
      <c r="E19" s="184"/>
      <c r="F19" s="214"/>
    </row>
    <row r="20" spans="1:8" ht="27.75" customHeight="1">
      <c r="A20" s="183"/>
      <c r="B20" s="235" t="s">
        <v>185</v>
      </c>
      <c r="C20" s="200" t="s">
        <v>191</v>
      </c>
      <c r="D20" s="203"/>
      <c r="E20" s="185"/>
      <c r="F20" s="214"/>
      <c r="H20" s="218"/>
    </row>
    <row r="21" spans="1:7" ht="13.5" customHeight="1">
      <c r="A21" s="183"/>
      <c r="B21" s="236"/>
      <c r="C21" s="200" t="s">
        <v>186</v>
      </c>
      <c r="D21" s="177"/>
      <c r="E21" s="205"/>
      <c r="F21" s="216"/>
      <c r="G21" s="132"/>
    </row>
    <row r="22" spans="1:6" ht="36.75" customHeight="1">
      <c r="A22" s="183"/>
      <c r="B22" s="244" t="s">
        <v>55</v>
      </c>
      <c r="C22" s="244"/>
      <c r="D22" s="178"/>
      <c r="E22" s="184"/>
      <c r="F22" s="214"/>
    </row>
    <row r="23" spans="1:6" ht="13.5" customHeight="1">
      <c r="A23" s="183"/>
      <c r="B23" s="243" t="s">
        <v>56</v>
      </c>
      <c r="C23" s="243"/>
      <c r="D23" s="179"/>
      <c r="E23" s="184"/>
      <c r="F23" s="214"/>
    </row>
    <row r="24" spans="1:9" ht="13.5" customHeight="1">
      <c r="A24" s="183"/>
      <c r="B24" s="243" t="s">
        <v>68</v>
      </c>
      <c r="C24" s="243"/>
      <c r="D24" s="180"/>
      <c r="E24" s="184"/>
      <c r="F24" s="214"/>
      <c r="I24" s="101"/>
    </row>
    <row r="25" spans="1:6" ht="13.5" customHeight="1">
      <c r="A25" s="183"/>
      <c r="B25" s="243" t="s">
        <v>57</v>
      </c>
      <c r="C25" s="243"/>
      <c r="D25" s="180"/>
      <c r="E25" s="184"/>
      <c r="F25" s="214"/>
    </row>
    <row r="26" spans="1:6" ht="13.5" customHeight="1">
      <c r="A26" s="183"/>
      <c r="B26" s="239" t="s">
        <v>58</v>
      </c>
      <c r="C26" s="239"/>
      <c r="D26" s="178"/>
      <c r="E26" s="185"/>
      <c r="F26" s="214"/>
    </row>
    <row r="27" spans="1:6" ht="13.5" customHeight="1">
      <c r="A27" s="183"/>
      <c r="B27" s="239" t="s">
        <v>78</v>
      </c>
      <c r="C27" s="239"/>
      <c r="D27" s="204">
        <v>15</v>
      </c>
      <c r="E27" s="202"/>
      <c r="F27" s="214"/>
    </row>
    <row r="28" spans="1:7" ht="12.75">
      <c r="A28" s="183"/>
      <c r="B28" s="239" t="s">
        <v>77</v>
      </c>
      <c r="C28" s="239"/>
      <c r="D28" s="204">
        <v>22</v>
      </c>
      <c r="E28" s="202"/>
      <c r="F28" s="217"/>
      <c r="G28" s="100"/>
    </row>
    <row r="29" spans="1:6" ht="13.5" customHeight="1">
      <c r="A29" s="183"/>
      <c r="B29" s="185"/>
      <c r="C29" s="185"/>
      <c r="D29" s="185"/>
      <c r="E29" s="185"/>
      <c r="F29" s="214"/>
    </row>
    <row r="30" spans="1:8" ht="13.5" customHeight="1">
      <c r="A30" s="211"/>
      <c r="B30" s="212"/>
      <c r="C30" s="212"/>
      <c r="D30" s="212"/>
      <c r="E30" s="212"/>
      <c r="F30" s="213"/>
      <c r="H30" s="79"/>
    </row>
    <row r="31" spans="1:3" ht="13.5" customHeight="1">
      <c r="A31" s="241"/>
      <c r="B31" s="242"/>
      <c r="C31" s="242"/>
    </row>
    <row r="32" spans="1:4" ht="12.75" customHeight="1">
      <c r="A32" s="9"/>
      <c r="B32" s="145"/>
      <c r="D32" s="78"/>
    </row>
    <row r="33" spans="1:2" ht="12.75" customHeight="1">
      <c r="A33" s="9"/>
      <c r="B33" s="9"/>
    </row>
    <row r="34" spans="1:4" ht="12.75" customHeight="1">
      <c r="A34" s="9"/>
      <c r="B34" s="9"/>
      <c r="D34" s="78"/>
    </row>
    <row r="35" spans="1:3" ht="12.75" customHeight="1">
      <c r="A35" s="9"/>
      <c r="B35" s="9"/>
      <c r="C35" s="9"/>
    </row>
    <row r="36" spans="1:6" ht="13.5" customHeight="1">
      <c r="A36" s="9"/>
      <c r="B36" s="9"/>
      <c r="C36" s="9"/>
      <c r="D36" s="124"/>
      <c r="E36" s="124"/>
      <c r="F36" s="124"/>
    </row>
    <row r="37" spans="1:3" ht="13.5" customHeight="1">
      <c r="A37" s="9"/>
      <c r="B37" s="9"/>
      <c r="C37" s="9"/>
    </row>
    <row r="38" spans="3:6" ht="13.5" customHeight="1">
      <c r="C38" s="138"/>
      <c r="D38" s="124"/>
      <c r="E38" s="124"/>
      <c r="F38" s="124"/>
    </row>
    <row r="39" ht="13.5" customHeight="1">
      <c r="B39" s="100"/>
    </row>
    <row r="40" ht="13.5" customHeight="1"/>
    <row r="41" ht="13.5" customHeight="1"/>
    <row r="42" ht="13.5" customHeight="1"/>
    <row r="43" ht="13.5" customHeight="1"/>
    <row r="44" ht="12.75" customHeight="1"/>
    <row r="45" ht="12.75" customHeight="1"/>
    <row r="46" ht="12.75" customHeight="1"/>
    <row r="48" spans="1:6" ht="12.75">
      <c r="A48" s="100"/>
      <c r="B48" s="100"/>
      <c r="C48" s="100"/>
      <c r="D48" s="100"/>
      <c r="E48" s="100"/>
      <c r="F48" s="100"/>
    </row>
    <row r="49" spans="1:6" ht="13.5" customHeight="1">
      <c r="A49" s="100"/>
      <c r="B49" s="100"/>
      <c r="C49" s="100"/>
      <c r="D49" s="100"/>
      <c r="E49" s="100"/>
      <c r="F49" s="100"/>
    </row>
    <row r="50" ht="13.5" customHeight="1"/>
    <row r="57" ht="3" customHeight="1"/>
    <row r="59" ht="5.25" customHeight="1"/>
    <row r="64" spans="2:4" ht="12.75">
      <c r="B64" s="79"/>
      <c r="C64" s="79"/>
      <c r="D64" s="79"/>
    </row>
    <row r="65" spans="3:4" ht="12.75">
      <c r="C65" s="237"/>
      <c r="D65" s="237"/>
    </row>
    <row r="66" spans="2:4" ht="12.75">
      <c r="B66" s="79"/>
      <c r="C66" s="80"/>
      <c r="D66" s="79"/>
    </row>
    <row r="68" spans="2:4" ht="12.75">
      <c r="B68" s="79"/>
      <c r="C68" s="81"/>
      <c r="D68" s="79"/>
    </row>
    <row r="73" spans="2:4" ht="12.75">
      <c r="B73" s="79"/>
      <c r="C73" s="81"/>
      <c r="D73" s="79"/>
    </row>
    <row r="74" spans="2:4" ht="12.75">
      <c r="B74" s="79"/>
      <c r="C74" s="81"/>
      <c r="D74" s="79"/>
    </row>
    <row r="75" spans="2:4" ht="12.75">
      <c r="B75" s="79"/>
      <c r="C75" s="81"/>
      <c r="D75" s="79"/>
    </row>
    <row r="76" spans="2:4" ht="12.75">
      <c r="B76" s="79"/>
      <c r="C76" s="81"/>
      <c r="D76" s="79"/>
    </row>
    <row r="77" spans="2:4" ht="12.75">
      <c r="B77" s="79"/>
      <c r="C77" s="81"/>
      <c r="D77" s="79"/>
    </row>
    <row r="78" spans="2:4" ht="12.75">
      <c r="B78" s="79"/>
      <c r="C78" s="81"/>
      <c r="D78" s="79"/>
    </row>
    <row r="79" spans="2:4" ht="12.75">
      <c r="B79" s="79"/>
      <c r="C79" s="81"/>
      <c r="D79" s="79"/>
    </row>
    <row r="80" spans="2:4" ht="12.75">
      <c r="B80" s="79"/>
      <c r="C80" s="82"/>
      <c r="D80" s="79"/>
    </row>
    <row r="81" spans="2:4" ht="12.75">
      <c r="B81" s="79"/>
      <c r="C81" s="81"/>
      <c r="D81" s="79"/>
    </row>
    <row r="82" spans="2:4" ht="12.75">
      <c r="B82" s="79"/>
      <c r="C82" s="83"/>
      <c r="D82" s="79"/>
    </row>
    <row r="83" spans="2:4" ht="12.75">
      <c r="B83" s="79"/>
      <c r="C83" s="83"/>
      <c r="D83" s="79"/>
    </row>
    <row r="84" spans="2:4" ht="12.75">
      <c r="B84" s="79"/>
      <c r="C84" s="82"/>
      <c r="D84" s="79"/>
    </row>
    <row r="85" spans="2:4" ht="12.75">
      <c r="B85" s="79"/>
      <c r="C85" s="79"/>
      <c r="D85" s="79"/>
    </row>
  </sheetData>
  <sheetProtection/>
  <mergeCells count="25">
    <mergeCell ref="H2:N2"/>
    <mergeCell ref="H3:N3"/>
    <mergeCell ref="H4:N4"/>
    <mergeCell ref="H6:H9"/>
    <mergeCell ref="B11:C11"/>
    <mergeCell ref="C4:E4"/>
    <mergeCell ref="B7:C7"/>
    <mergeCell ref="B24:C24"/>
    <mergeCell ref="B23:C23"/>
    <mergeCell ref="B22:C22"/>
    <mergeCell ref="B16:B18"/>
    <mergeCell ref="B28:C28"/>
    <mergeCell ref="I8:K8"/>
    <mergeCell ref="I9:M9"/>
    <mergeCell ref="B26:C26"/>
    <mergeCell ref="A2:F2"/>
    <mergeCell ref="B20:B21"/>
    <mergeCell ref="C65:D65"/>
    <mergeCell ref="C16:D16"/>
    <mergeCell ref="B27:C27"/>
    <mergeCell ref="C5:E5"/>
    <mergeCell ref="A31:C31"/>
    <mergeCell ref="D10:E10"/>
    <mergeCell ref="D9:E9"/>
    <mergeCell ref="B25:C25"/>
  </mergeCells>
  <printOptions horizontalCentered="1"/>
  <pageMargins left="0.3937007874015748" right="0.3937007874015748" top="0.7874015748031497" bottom="0.3937007874015748" header="0.2755905511811024" footer="0.2362204724409449"/>
  <pageSetup horizontalDpi="600" verticalDpi="600" orientation="portrait" paperSize="9" scale="70" r:id="rId2"/>
  <headerFooter alignWithMargins="0">
    <oddHeader>&amp;CJustiça Federal - Seção Judiciária de Mato Grosso do Sul</oddHeader>
    <oddFooter>&amp;CPágina &amp;P de &amp;N.&amp;REmitido em &amp;D às &amp;T.</oddFooter>
  </headerFooter>
  <ignoredErrors>
    <ignoredError sqref="M6:M7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7"/>
  <sheetViews>
    <sheetView showGridLines="0" tabSelected="1" zoomScaleSheetLayoutView="100" workbookViewId="0" topLeftCell="A64">
      <selection activeCell="F5" sqref="F5"/>
    </sheetView>
  </sheetViews>
  <sheetFormatPr defaultColWidth="9.140625" defaultRowHeight="12.75"/>
  <cols>
    <col min="1" max="1" width="17.7109375" style="16" customWidth="1"/>
    <col min="2" max="2" width="13.28125" style="9" customWidth="1"/>
    <col min="3" max="5" width="17.7109375" style="9" customWidth="1"/>
    <col min="6" max="6" width="36.00390625" style="9" customWidth="1"/>
    <col min="7" max="7" width="12.57421875" style="9" customWidth="1"/>
    <col min="8" max="8" width="10.57421875" style="9" customWidth="1"/>
    <col min="9" max="9" width="12.140625" style="9" customWidth="1"/>
    <col min="10" max="10" width="9.7109375" style="9" customWidth="1"/>
    <col min="11" max="11" width="11.140625" style="9" customWidth="1"/>
    <col min="12" max="12" width="10.8515625" style="9" bestFit="1" customWidth="1"/>
    <col min="13" max="13" width="13.7109375" style="9" customWidth="1"/>
    <col min="14" max="14" width="16.00390625" style="9" customWidth="1"/>
    <col min="15" max="15" width="10.421875" style="9" customWidth="1"/>
    <col min="16" max="16" width="19.00390625" style="9" customWidth="1"/>
    <col min="17" max="19" width="13.7109375" style="9" customWidth="1"/>
    <col min="20" max="20" width="9.140625" style="9" customWidth="1"/>
    <col min="21" max="21" width="11.8515625" style="9" customWidth="1"/>
    <col min="22" max="22" width="12.7109375" style="9" customWidth="1"/>
    <col min="23" max="16384" width="9.140625" style="9" customWidth="1"/>
  </cols>
  <sheetData>
    <row r="1" spans="1:11" s="14" customFormat="1" ht="12.75">
      <c r="A1" s="23"/>
      <c r="B1" s="306"/>
      <c r="C1" s="306"/>
      <c r="D1" s="306"/>
      <c r="E1" s="306"/>
      <c r="F1" s="306"/>
      <c r="G1" s="306"/>
      <c r="H1" s="306"/>
      <c r="I1" s="5"/>
      <c r="J1" s="5"/>
      <c r="K1" s="5"/>
    </row>
    <row r="2" spans="2:22" ht="12.75">
      <c r="B2" s="5"/>
      <c r="C2" s="5"/>
      <c r="D2" s="5"/>
      <c r="E2" s="5"/>
      <c r="F2" s="5"/>
      <c r="G2" s="5"/>
      <c r="H2" s="5"/>
      <c r="I2" s="5"/>
      <c r="J2" s="5"/>
      <c r="K2" s="5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20.25" customHeight="1">
      <c r="B3" s="294" t="s">
        <v>70</v>
      </c>
      <c r="C3" s="294"/>
      <c r="D3" s="292" t="str">
        <f>TOTALIZAÇÃO!C4</f>
        <v>0003/2022</v>
      </c>
      <c r="E3" s="292"/>
      <c r="F3" s="38" t="s">
        <v>156</v>
      </c>
      <c r="G3" s="109"/>
      <c r="H3" s="110"/>
      <c r="I3" s="105"/>
      <c r="J3" s="105"/>
      <c r="K3" s="105"/>
      <c r="M3" s="113"/>
      <c r="N3" s="114"/>
      <c r="O3" s="114"/>
      <c r="P3" s="114"/>
      <c r="Q3" s="114"/>
      <c r="R3" s="113"/>
      <c r="S3" s="114"/>
      <c r="T3" s="114"/>
      <c r="U3" s="114"/>
      <c r="V3" s="114"/>
    </row>
    <row r="4" spans="2:22" ht="20.25" customHeight="1">
      <c r="B4" s="294" t="s">
        <v>71</v>
      </c>
      <c r="C4" s="294"/>
      <c r="D4" s="293" t="str">
        <f>TOTALIZAÇÃO!C5</f>
        <v>003/2022</v>
      </c>
      <c r="E4" s="292"/>
      <c r="F4" s="30"/>
      <c r="G4" s="111"/>
      <c r="H4" s="105"/>
      <c r="I4" s="105"/>
      <c r="J4" s="112"/>
      <c r="K4" s="100"/>
      <c r="M4" s="115"/>
      <c r="N4" s="114"/>
      <c r="O4" s="114"/>
      <c r="P4" s="114"/>
      <c r="Q4" s="116"/>
      <c r="R4" s="115"/>
      <c r="S4" s="114"/>
      <c r="T4" s="114"/>
      <c r="U4" s="114"/>
      <c r="V4" s="114"/>
    </row>
    <row r="5" spans="2:22" ht="20.25" customHeight="1">
      <c r="B5" s="294" t="s">
        <v>72</v>
      </c>
      <c r="C5" s="294"/>
      <c r="D5" s="340">
        <v>44714</v>
      </c>
      <c r="E5" s="292"/>
      <c r="F5" s="30"/>
      <c r="G5" s="111"/>
      <c r="H5" s="105"/>
      <c r="I5" s="105"/>
      <c r="J5" s="112"/>
      <c r="K5" s="100"/>
      <c r="M5" s="117"/>
      <c r="N5" s="113"/>
      <c r="O5" s="113"/>
      <c r="P5" s="114"/>
      <c r="Q5" s="114"/>
      <c r="R5" s="117"/>
      <c r="S5" s="113"/>
      <c r="T5" s="113"/>
      <c r="U5" s="114"/>
      <c r="V5" s="114"/>
    </row>
    <row r="6" spans="2:22" ht="20.25" customHeight="1">
      <c r="B6" s="294" t="s">
        <v>73</v>
      </c>
      <c r="C6" s="294"/>
      <c r="D6" s="292" t="s">
        <v>74</v>
      </c>
      <c r="E6" s="292"/>
      <c r="F6" s="30"/>
      <c r="G6" s="111"/>
      <c r="H6" s="105"/>
      <c r="I6" s="105"/>
      <c r="J6" s="112"/>
      <c r="K6" s="100"/>
      <c r="M6" s="113"/>
      <c r="N6" s="113"/>
      <c r="O6" s="113"/>
      <c r="P6" s="114"/>
      <c r="Q6" s="116"/>
      <c r="R6" s="113"/>
      <c r="S6" s="113"/>
      <c r="T6" s="113"/>
      <c r="U6" s="114"/>
      <c r="V6" s="114"/>
    </row>
    <row r="7" spans="1:22" ht="20.25" customHeight="1">
      <c r="A7"/>
      <c r="B7" s="38"/>
      <c r="C7" s="307"/>
      <c r="D7" s="307"/>
      <c r="E7" s="307"/>
      <c r="F7" s="30"/>
      <c r="G7" s="105"/>
      <c r="H7" s="105"/>
      <c r="I7" s="105"/>
      <c r="J7" s="105"/>
      <c r="K7" s="105"/>
      <c r="M7" s="118"/>
      <c r="N7" s="113"/>
      <c r="O7" s="113"/>
      <c r="P7" s="114"/>
      <c r="Q7" s="114"/>
      <c r="R7" s="118"/>
      <c r="S7" s="113"/>
      <c r="T7" s="113"/>
      <c r="U7" s="114"/>
      <c r="V7" s="114"/>
    </row>
    <row r="8" spans="1:29" s="2" customFormat="1" ht="43.5" customHeight="1">
      <c r="A8"/>
      <c r="B8" s="309" t="s">
        <v>51</v>
      </c>
      <c r="C8" s="309"/>
      <c r="D8" s="310" t="str">
        <f>IF(TOTALIZAÇÃO!B8=1,"Lucro Real",IF(TOTALIZAÇÃO!B8=2,"Lucro Presumido","Simples Nacional"))</f>
        <v>Lucro Real</v>
      </c>
      <c r="E8" s="310"/>
      <c r="F8" s="310"/>
      <c r="G8" s="310"/>
      <c r="H8" s="30"/>
      <c r="I8" s="30"/>
      <c r="J8" s="30"/>
      <c r="K8" s="30"/>
      <c r="L8" s="9"/>
      <c r="M8" s="118"/>
      <c r="N8" s="113"/>
      <c r="O8" s="113"/>
      <c r="P8" s="114"/>
      <c r="Q8" s="114"/>
      <c r="R8" s="118"/>
      <c r="S8" s="113"/>
      <c r="T8" s="113"/>
      <c r="U8" s="114"/>
      <c r="V8" s="114"/>
      <c r="W8" s="14"/>
      <c r="X8" s="14"/>
      <c r="Y8" s="14"/>
      <c r="Z8" s="14"/>
      <c r="AA8" s="14"/>
      <c r="AB8" s="14"/>
      <c r="AC8" s="14"/>
    </row>
    <row r="9" spans="1:22" ht="18.75" customHeight="1">
      <c r="A9"/>
      <c r="B9" s="37" t="s">
        <v>7</v>
      </c>
      <c r="C9" s="288" t="s">
        <v>33</v>
      </c>
      <c r="D9" s="288"/>
      <c r="E9" s="288"/>
      <c r="F9" s="288"/>
      <c r="G9" s="288"/>
      <c r="H9" s="295"/>
      <c r="I9" s="295"/>
      <c r="J9" s="295"/>
      <c r="K9" s="296"/>
      <c r="M9" s="118"/>
      <c r="N9" s="113"/>
      <c r="O9" s="113"/>
      <c r="P9" s="114"/>
      <c r="Q9" s="114"/>
      <c r="R9" s="118"/>
      <c r="S9" s="113"/>
      <c r="T9" s="113"/>
      <c r="U9" s="114"/>
      <c r="V9" s="114"/>
    </row>
    <row r="10" spans="1:22" ht="30.75" customHeight="1">
      <c r="A10"/>
      <c r="B10" s="229" t="s">
        <v>8</v>
      </c>
      <c r="C10" s="313" t="s">
        <v>34</v>
      </c>
      <c r="D10" s="313"/>
      <c r="E10" s="313"/>
      <c r="F10" s="313"/>
      <c r="G10" s="313"/>
      <c r="H10" s="311" t="s">
        <v>188</v>
      </c>
      <c r="I10" s="311"/>
      <c r="J10" s="311"/>
      <c r="K10" s="312"/>
      <c r="M10" s="118"/>
      <c r="N10" s="113"/>
      <c r="O10" s="113"/>
      <c r="P10" s="114"/>
      <c r="Q10" s="114"/>
      <c r="R10" s="118"/>
      <c r="S10" s="113"/>
      <c r="T10" s="113"/>
      <c r="U10" s="114"/>
      <c r="V10" s="114"/>
    </row>
    <row r="11" spans="1:22" ht="18.75" customHeight="1">
      <c r="A11"/>
      <c r="B11" s="37" t="s">
        <v>9</v>
      </c>
      <c r="C11" s="288" t="s">
        <v>175</v>
      </c>
      <c r="D11" s="308"/>
      <c r="E11" s="308"/>
      <c r="F11" s="308"/>
      <c r="G11" s="308"/>
      <c r="H11" s="315" t="s">
        <v>187</v>
      </c>
      <c r="I11" s="315"/>
      <c r="J11" s="315"/>
      <c r="K11" s="316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ht="18.75" customHeight="1">
      <c r="A12" s="17"/>
      <c r="B12" s="37"/>
      <c r="C12" s="288" t="s">
        <v>75</v>
      </c>
      <c r="D12" s="288"/>
      <c r="E12" s="288"/>
      <c r="F12" s="288"/>
      <c r="G12" s="288"/>
      <c r="H12" s="315" t="s">
        <v>170</v>
      </c>
      <c r="I12" s="315"/>
      <c r="J12" s="315"/>
      <c r="K12" s="316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ht="31.5" customHeight="1">
      <c r="A13" s="17"/>
      <c r="B13" s="37" t="s">
        <v>10</v>
      </c>
      <c r="C13" s="288" t="s">
        <v>39</v>
      </c>
      <c r="D13" s="288"/>
      <c r="E13" s="288"/>
      <c r="F13" s="288"/>
      <c r="G13" s="288"/>
      <c r="H13" s="319" t="s">
        <v>43</v>
      </c>
      <c r="I13" s="320"/>
      <c r="J13" s="321" t="s">
        <v>226</v>
      </c>
      <c r="K13" s="320"/>
      <c r="M13" s="114"/>
      <c r="N13" s="114"/>
      <c r="O13" s="114"/>
      <c r="P13" s="114"/>
      <c r="Q13" s="114"/>
      <c r="R13" s="115"/>
      <c r="S13" s="114"/>
      <c r="T13" s="114"/>
      <c r="U13" s="114"/>
      <c r="V13" s="114"/>
    </row>
    <row r="14" spans="1:22" ht="24.75" customHeight="1">
      <c r="A14" s="17"/>
      <c r="B14" s="37" t="s">
        <v>11</v>
      </c>
      <c r="C14" s="288" t="s">
        <v>146</v>
      </c>
      <c r="D14" s="288"/>
      <c r="E14" s="288"/>
      <c r="F14" s="288"/>
      <c r="G14" s="288"/>
      <c r="H14" s="317" t="s">
        <v>147</v>
      </c>
      <c r="I14" s="317"/>
      <c r="J14" s="317"/>
      <c r="K14" s="318"/>
      <c r="M14" s="113"/>
      <c r="N14" s="113"/>
      <c r="O14" s="119"/>
      <c r="P14" s="119"/>
      <c r="Q14" s="119"/>
      <c r="R14" s="117"/>
      <c r="S14" s="113"/>
      <c r="T14" s="119"/>
      <c r="U14" s="119"/>
      <c r="V14" s="114"/>
    </row>
    <row r="15" spans="1:22" ht="15" customHeight="1">
      <c r="A15" s="17"/>
      <c r="B15" s="31"/>
      <c r="C15" s="32"/>
      <c r="D15" s="32"/>
      <c r="E15" s="32"/>
      <c r="F15" s="32"/>
      <c r="G15" s="32"/>
      <c r="H15" s="33"/>
      <c r="I15" s="33"/>
      <c r="J15" s="33"/>
      <c r="K15" s="33"/>
      <c r="M15" s="117"/>
      <c r="N15" s="113"/>
      <c r="O15" s="119"/>
      <c r="P15" s="119"/>
      <c r="Q15" s="119"/>
      <c r="R15" s="113"/>
      <c r="S15" s="113"/>
      <c r="T15" s="119"/>
      <c r="U15" s="119"/>
      <c r="V15" s="114"/>
    </row>
    <row r="16" spans="1:22" s="11" customFormat="1" ht="32.25" customHeight="1">
      <c r="A16"/>
      <c r="B16" s="303" t="s">
        <v>76</v>
      </c>
      <c r="C16" s="304"/>
      <c r="D16" s="304"/>
      <c r="E16" s="304"/>
      <c r="F16" s="304"/>
      <c r="G16" s="220" t="s">
        <v>28</v>
      </c>
      <c r="H16" s="220" t="s">
        <v>16</v>
      </c>
      <c r="I16" s="220" t="s">
        <v>16</v>
      </c>
      <c r="J16" s="220" t="s">
        <v>16</v>
      </c>
      <c r="K16" s="220" t="s">
        <v>16</v>
      </c>
      <c r="L16" s="64"/>
      <c r="M16" s="117"/>
      <c r="N16" s="113"/>
      <c r="O16" s="119"/>
      <c r="P16" s="119"/>
      <c r="Q16" s="119"/>
      <c r="R16" s="118"/>
      <c r="S16" s="113"/>
      <c r="T16" s="119"/>
      <c r="U16" s="119"/>
      <c r="V16" s="114"/>
    </row>
    <row r="17" spans="1:22" s="11" customFormat="1" ht="15" customHeight="1">
      <c r="A17"/>
      <c r="B17" s="37" t="s">
        <v>7</v>
      </c>
      <c r="C17" s="297" t="s">
        <v>66</v>
      </c>
      <c r="D17" s="297"/>
      <c r="E17" s="297"/>
      <c r="F17" s="297"/>
      <c r="G17" s="60"/>
      <c r="H17" s="61">
        <f>TOTALIZAÇÃO!D13</f>
        <v>0</v>
      </c>
      <c r="I17" s="61">
        <f>TOTALIZAÇÃO!D13</f>
        <v>0</v>
      </c>
      <c r="J17" s="61">
        <f>TOTALIZAÇÃO!D13</f>
        <v>0</v>
      </c>
      <c r="K17" s="61">
        <f>TOTALIZAÇÃO!D13</f>
        <v>0</v>
      </c>
      <c r="L17" s="64"/>
      <c r="M17" s="114"/>
      <c r="N17" s="119"/>
      <c r="O17" s="119"/>
      <c r="P17" s="119"/>
      <c r="Q17" s="119"/>
      <c r="R17" s="118"/>
      <c r="S17" s="113"/>
      <c r="T17" s="119"/>
      <c r="U17" s="119"/>
      <c r="V17" s="114"/>
    </row>
    <row r="18" spans="1:22" ht="18" customHeight="1">
      <c r="A18"/>
      <c r="B18" s="37" t="s">
        <v>8</v>
      </c>
      <c r="C18" s="298" t="s">
        <v>145</v>
      </c>
      <c r="D18" s="299"/>
      <c r="E18" s="299"/>
      <c r="F18" s="299"/>
      <c r="G18" s="50">
        <v>0.3</v>
      </c>
      <c r="H18" s="62">
        <f>ROUND(H$17*$G$18,2)</f>
        <v>0</v>
      </c>
      <c r="I18" s="62">
        <f>ROUND(I$17*$G$18,2)</f>
        <v>0</v>
      </c>
      <c r="J18" s="62">
        <f>ROUND(J$17*$G$18,2)</f>
        <v>0</v>
      </c>
      <c r="K18" s="62">
        <f>ROUND(K$17*$G$18,2)</f>
        <v>0</v>
      </c>
      <c r="L18" s="64"/>
      <c r="M18" s="119"/>
      <c r="N18" s="119"/>
      <c r="O18" s="119"/>
      <c r="P18" s="119"/>
      <c r="Q18" s="119"/>
      <c r="R18" s="118"/>
      <c r="S18" s="113"/>
      <c r="T18" s="119"/>
      <c r="U18" s="119"/>
      <c r="V18" s="114"/>
    </row>
    <row r="19" spans="1:22" ht="15" customHeight="1">
      <c r="A19"/>
      <c r="B19" s="44" t="s">
        <v>9</v>
      </c>
      <c r="C19" s="271" t="s">
        <v>149</v>
      </c>
      <c r="D19" s="299"/>
      <c r="E19" s="299"/>
      <c r="F19" s="299"/>
      <c r="G19" s="50">
        <v>0.2</v>
      </c>
      <c r="H19" s="63">
        <v>0</v>
      </c>
      <c r="I19" s="63">
        <f>ROUND((H17+H18)*0.5833*0.2,2)</f>
        <v>0</v>
      </c>
      <c r="J19" s="63">
        <v>0</v>
      </c>
      <c r="K19" s="63">
        <v>0</v>
      </c>
      <c r="L19" s="102"/>
      <c r="M19" s="119"/>
      <c r="N19" s="119"/>
      <c r="O19" s="119"/>
      <c r="P19" s="119"/>
      <c r="Q19" s="119"/>
      <c r="R19" s="118"/>
      <c r="S19" s="113"/>
      <c r="T19" s="119"/>
      <c r="U19" s="119"/>
      <c r="V19" s="114"/>
    </row>
    <row r="20" spans="1:21" ht="15" customHeight="1">
      <c r="A20"/>
      <c r="B20" s="44" t="s">
        <v>10</v>
      </c>
      <c r="C20" s="271" t="s">
        <v>148</v>
      </c>
      <c r="D20" s="271"/>
      <c r="E20" s="271"/>
      <c r="F20" s="271"/>
      <c r="G20" s="50"/>
      <c r="H20" s="63">
        <v>0</v>
      </c>
      <c r="I20" s="63">
        <f>ROUND((H17+H18)*0.0833*1.2,2)</f>
        <v>0</v>
      </c>
      <c r="J20" s="63">
        <v>0</v>
      </c>
      <c r="K20" s="63">
        <v>0</v>
      </c>
      <c r="L20" s="102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5" customHeight="1">
      <c r="A21" s="107"/>
      <c r="B21" s="44" t="s">
        <v>11</v>
      </c>
      <c r="C21" s="271" t="s">
        <v>212</v>
      </c>
      <c r="D21" s="271"/>
      <c r="E21" s="271"/>
      <c r="F21" s="271"/>
      <c r="G21" s="50"/>
      <c r="H21" s="51">
        <f>(H17+H18)/220*60/2*100%/12</f>
        <v>0</v>
      </c>
      <c r="I21" s="51">
        <f>(I17+I18+I19+I20)/220*60/2*100%/12</f>
        <v>0</v>
      </c>
      <c r="J21" s="51">
        <v>0</v>
      </c>
      <c r="K21" s="51">
        <v>0</v>
      </c>
      <c r="L21" s="106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5" customHeight="1">
      <c r="A22" s="107"/>
      <c r="B22" s="44"/>
      <c r="C22" s="271"/>
      <c r="D22" s="271"/>
      <c r="E22" s="271"/>
      <c r="F22" s="271"/>
      <c r="G22" s="50"/>
      <c r="H22" s="51"/>
      <c r="I22" s="51"/>
      <c r="J22" s="51"/>
      <c r="K22" s="51"/>
      <c r="L22" s="100"/>
      <c r="M22" s="64"/>
      <c r="N22" s="64"/>
      <c r="O22" s="64"/>
      <c r="P22" s="64"/>
      <c r="Q22" s="64"/>
      <c r="R22" s="64"/>
      <c r="S22" s="64"/>
      <c r="T22" s="64"/>
      <c r="U22" s="64"/>
    </row>
    <row r="23" spans="1:12" ht="15" customHeight="1">
      <c r="A23" s="107"/>
      <c r="B23" s="44"/>
      <c r="C23" s="271"/>
      <c r="D23" s="271"/>
      <c r="E23" s="271"/>
      <c r="F23" s="271"/>
      <c r="G23" s="50"/>
      <c r="H23" s="63"/>
      <c r="I23" s="63"/>
      <c r="J23" s="63"/>
      <c r="K23" s="63"/>
      <c r="L23" s="100"/>
    </row>
    <row r="24" spans="1:11" ht="15" customHeight="1">
      <c r="A24"/>
      <c r="B24" s="44"/>
      <c r="C24" s="269"/>
      <c r="D24" s="269"/>
      <c r="E24" s="269"/>
      <c r="F24" s="269"/>
      <c r="G24" s="50"/>
      <c r="H24" s="63"/>
      <c r="I24" s="63"/>
      <c r="J24" s="63"/>
      <c r="K24" s="63"/>
    </row>
    <row r="25" spans="1:11" ht="27" customHeight="1">
      <c r="A25"/>
      <c r="B25" s="272" t="s">
        <v>84</v>
      </c>
      <c r="C25" s="273"/>
      <c r="D25" s="273"/>
      <c r="E25" s="273"/>
      <c r="F25" s="273"/>
      <c r="G25" s="274"/>
      <c r="H25" s="221">
        <f>ROUND(SUM(H17:H24),2)</f>
        <v>0</v>
      </c>
      <c r="I25" s="221">
        <f>ROUND(SUM(I17:I24),2)</f>
        <v>0</v>
      </c>
      <c r="J25" s="221">
        <f>ROUND(SUM(J17:J24),2)</f>
        <v>0</v>
      </c>
      <c r="K25" s="221">
        <f>ROUND(SUM(K17:K24),2)</f>
        <v>0</v>
      </c>
    </row>
    <row r="26" spans="1:11" ht="11.25" customHeight="1">
      <c r="A26"/>
      <c r="B26" s="64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32.25" customHeight="1">
      <c r="A27"/>
      <c r="B27" s="303" t="s">
        <v>79</v>
      </c>
      <c r="C27" s="304"/>
      <c r="D27" s="304"/>
      <c r="E27" s="304"/>
      <c r="F27" s="304"/>
      <c r="G27" s="304"/>
      <c r="H27" s="304"/>
      <c r="I27" s="304"/>
      <c r="J27" s="304"/>
      <c r="K27" s="305"/>
    </row>
    <row r="28" spans="1:11" ht="27" customHeight="1">
      <c r="A28" s="39"/>
      <c r="B28" s="303" t="s">
        <v>190</v>
      </c>
      <c r="C28" s="304"/>
      <c r="D28" s="304"/>
      <c r="E28" s="304"/>
      <c r="F28" s="305"/>
      <c r="G28" s="222" t="s">
        <v>23</v>
      </c>
      <c r="H28" s="220" t="s">
        <v>16</v>
      </c>
      <c r="I28" s="220" t="s">
        <v>16</v>
      </c>
      <c r="J28" s="220" t="s">
        <v>16</v>
      </c>
      <c r="K28" s="220" t="s">
        <v>16</v>
      </c>
    </row>
    <row r="29" spans="1:11" ht="15" customHeight="1">
      <c r="A29" s="39"/>
      <c r="B29" s="44" t="s">
        <v>7</v>
      </c>
      <c r="C29" s="269" t="s">
        <v>32</v>
      </c>
      <c r="D29" s="269"/>
      <c r="E29" s="269"/>
      <c r="F29" s="269"/>
      <c r="G29" s="50">
        <v>0.0833</v>
      </c>
      <c r="H29" s="51">
        <f>ROUND(H25*$G$29,2)</f>
        <v>0</v>
      </c>
      <c r="I29" s="51">
        <f>ROUND(I25*$G$29,2)</f>
        <v>0</v>
      </c>
      <c r="J29" s="51">
        <f>ROUND(J25*$G$29,2)</f>
        <v>0</v>
      </c>
      <c r="K29" s="51">
        <f>ROUND(K25*$G$29,2)</f>
        <v>0</v>
      </c>
    </row>
    <row r="30" spans="1:12" ht="15" customHeight="1">
      <c r="A30" s="39"/>
      <c r="B30" s="44" t="s">
        <v>8</v>
      </c>
      <c r="C30" s="269" t="s">
        <v>40</v>
      </c>
      <c r="D30" s="269"/>
      <c r="E30" s="269"/>
      <c r="F30" s="269"/>
      <c r="G30" s="45">
        <v>0.0278</v>
      </c>
      <c r="H30" s="51">
        <f>ROUND(H25*$G$30,2)</f>
        <v>0</v>
      </c>
      <c r="I30" s="51">
        <f>ROUND(I25*$G$30,2)</f>
        <v>0</v>
      </c>
      <c r="J30" s="51">
        <f>ROUND(J25*$G$30,2)</f>
        <v>0</v>
      </c>
      <c r="K30" s="51">
        <f>ROUND(K25*$G$30,2)</f>
        <v>0</v>
      </c>
      <c r="L30" s="100"/>
    </row>
    <row r="31" spans="1:11" ht="15" customHeight="1">
      <c r="A31" s="39"/>
      <c r="B31" s="272" t="s">
        <v>83</v>
      </c>
      <c r="C31" s="273"/>
      <c r="D31" s="273"/>
      <c r="E31" s="273"/>
      <c r="F31" s="274"/>
      <c r="G31" s="223">
        <f>SUM(G29:G30)</f>
        <v>0.1111</v>
      </c>
      <c r="H31" s="221">
        <f>SUM(H29:H30)</f>
        <v>0</v>
      </c>
      <c r="I31" s="221">
        <f>SUM(I29:I30)</f>
        <v>0</v>
      </c>
      <c r="J31" s="221">
        <f>SUM(J29:J30)</f>
        <v>0</v>
      </c>
      <c r="K31" s="221">
        <f>SUM(K29:K30)</f>
        <v>0</v>
      </c>
    </row>
    <row r="32" spans="1:17" s="11" customFormat="1" ht="29.25" customHeight="1">
      <c r="A32" s="19"/>
      <c r="B32" s="266" t="s">
        <v>80</v>
      </c>
      <c r="C32" s="267"/>
      <c r="D32" s="267"/>
      <c r="E32" s="267"/>
      <c r="F32" s="268"/>
      <c r="G32" s="222" t="s">
        <v>23</v>
      </c>
      <c r="H32" s="220" t="s">
        <v>16</v>
      </c>
      <c r="I32" s="220" t="s">
        <v>16</v>
      </c>
      <c r="J32" s="220" t="s">
        <v>16</v>
      </c>
      <c r="K32" s="220" t="s">
        <v>16</v>
      </c>
      <c r="L32" s="9"/>
      <c r="M32" s="9"/>
      <c r="N32" s="9"/>
      <c r="O32" s="9"/>
      <c r="P32" s="9"/>
      <c r="Q32" s="9"/>
    </row>
    <row r="33" spans="1:17" ht="15" customHeight="1">
      <c r="A33" s="20"/>
      <c r="B33" s="37" t="s">
        <v>7</v>
      </c>
      <c r="C33" s="52" t="s">
        <v>24</v>
      </c>
      <c r="D33" s="52"/>
      <c r="E33" s="52"/>
      <c r="F33" s="52"/>
      <c r="G33" s="53">
        <v>0.2</v>
      </c>
      <c r="H33" s="54">
        <f>ROUND((H$25+H$31)*G33,2)</f>
        <v>0</v>
      </c>
      <c r="I33" s="55">
        <f>ROUND((I$25+I$31)*G33,2)</f>
        <v>0</v>
      </c>
      <c r="J33" s="55">
        <f>ROUND((J$25+J$31)*G33,2)</f>
        <v>0</v>
      </c>
      <c r="K33" s="55">
        <f>ROUND((K$25+K$31)*G33,2)</f>
        <v>0</v>
      </c>
      <c r="L33" s="11"/>
      <c r="N33" s="11"/>
      <c r="O33" s="11"/>
      <c r="P33" s="11"/>
      <c r="Q33" s="11"/>
    </row>
    <row r="34" spans="1:17" ht="24.75" customHeight="1">
      <c r="A34" s="20"/>
      <c r="B34" s="37" t="s">
        <v>8</v>
      </c>
      <c r="C34" s="52" t="s">
        <v>25</v>
      </c>
      <c r="D34" s="52"/>
      <c r="E34" s="52"/>
      <c r="F34" s="52"/>
      <c r="G34" s="53">
        <f>IF($D$8="Simples Nacional",0,1.5%)</f>
        <v>0.015</v>
      </c>
      <c r="H34" s="54">
        <f aca="true" t="shared" si="0" ref="H34:H40">ROUND((H$25+H$31)*G34,2)</f>
        <v>0</v>
      </c>
      <c r="I34" s="55">
        <f aca="true" t="shared" si="1" ref="I34:I40">ROUND((I$25+I$31)*G34,2)</f>
        <v>0</v>
      </c>
      <c r="J34" s="55">
        <f aca="true" t="shared" si="2" ref="J34:J40">ROUND((J$25+J$31)*G34,2)</f>
        <v>0</v>
      </c>
      <c r="K34" s="55">
        <f aca="true" t="shared" si="3" ref="K34:K40">ROUND((K$25+K$31)*G34,2)</f>
        <v>0</v>
      </c>
      <c r="M34" s="11"/>
      <c r="N34" s="11"/>
      <c r="O34" s="11"/>
      <c r="P34" s="11"/>
      <c r="Q34" s="11"/>
    </row>
    <row r="35" spans="1:11" ht="24.75" customHeight="1">
      <c r="A35" s="21"/>
      <c r="B35" s="37" t="s">
        <v>9</v>
      </c>
      <c r="C35" s="52" t="s">
        <v>26</v>
      </c>
      <c r="D35" s="52"/>
      <c r="E35" s="52"/>
      <c r="F35" s="52"/>
      <c r="G35" s="53">
        <f>IF($D$8="simples Nacional",0,1%)</f>
        <v>0.01</v>
      </c>
      <c r="H35" s="54">
        <f t="shared" si="0"/>
        <v>0</v>
      </c>
      <c r="I35" s="55">
        <f t="shared" si="1"/>
        <v>0</v>
      </c>
      <c r="J35" s="55">
        <f t="shared" si="2"/>
        <v>0</v>
      </c>
      <c r="K35" s="55">
        <f t="shared" si="3"/>
        <v>0</v>
      </c>
    </row>
    <row r="36" spans="1:13" ht="24.75" customHeight="1">
      <c r="A36" s="20"/>
      <c r="B36" s="37" t="s">
        <v>10</v>
      </c>
      <c r="C36" s="52" t="s">
        <v>27</v>
      </c>
      <c r="D36" s="52"/>
      <c r="E36" s="52"/>
      <c r="F36" s="52"/>
      <c r="G36" s="53">
        <f>IF($D$8="simples nacional",0,0.2%)</f>
        <v>0.002</v>
      </c>
      <c r="H36" s="54">
        <f t="shared" si="0"/>
        <v>0</v>
      </c>
      <c r="I36" s="55">
        <f t="shared" si="1"/>
        <v>0</v>
      </c>
      <c r="J36" s="55">
        <f t="shared" si="2"/>
        <v>0</v>
      </c>
      <c r="K36" s="55">
        <f t="shared" si="3"/>
        <v>0</v>
      </c>
      <c r="L36" s="11"/>
      <c r="M36" s="36"/>
    </row>
    <row r="37" spans="1:12" ht="24.75" customHeight="1">
      <c r="A37" s="20"/>
      <c r="B37" s="37" t="s">
        <v>11</v>
      </c>
      <c r="C37" s="291" t="s">
        <v>0</v>
      </c>
      <c r="D37" s="291"/>
      <c r="E37" s="291"/>
      <c r="F37" s="291"/>
      <c r="G37" s="53">
        <f>IF($D$8="simples nacional",0,2.5%)</f>
        <v>0.025</v>
      </c>
      <c r="H37" s="54">
        <f t="shared" si="0"/>
        <v>0</v>
      </c>
      <c r="I37" s="55">
        <f t="shared" si="1"/>
        <v>0</v>
      </c>
      <c r="J37" s="55">
        <f t="shared" si="2"/>
        <v>0</v>
      </c>
      <c r="K37" s="55">
        <f t="shared" si="3"/>
        <v>0</v>
      </c>
      <c r="L37" s="6"/>
    </row>
    <row r="38" spans="1:12" ht="24.75" customHeight="1">
      <c r="A38"/>
      <c r="B38" s="56" t="s">
        <v>12</v>
      </c>
      <c r="C38" s="57" t="s">
        <v>67</v>
      </c>
      <c r="D38" s="57"/>
      <c r="E38" s="57"/>
      <c r="F38" s="57"/>
      <c r="G38" s="58">
        <v>0.08</v>
      </c>
      <c r="H38" s="54">
        <f t="shared" si="0"/>
        <v>0</v>
      </c>
      <c r="I38" s="55">
        <f t="shared" si="1"/>
        <v>0</v>
      </c>
      <c r="J38" s="55">
        <f t="shared" si="2"/>
        <v>0</v>
      </c>
      <c r="K38" s="55">
        <f t="shared" si="3"/>
        <v>0</v>
      </c>
      <c r="L38" s="6"/>
    </row>
    <row r="39" spans="1:12" ht="24.75" customHeight="1">
      <c r="A39"/>
      <c r="B39" s="37" t="s">
        <v>13</v>
      </c>
      <c r="C39" s="87" t="s">
        <v>138</v>
      </c>
      <c r="D39" s="88">
        <f>TOTALIZAÇÃO!D22</f>
        <v>0</v>
      </c>
      <c r="E39" s="86" t="s">
        <v>176</v>
      </c>
      <c r="F39" s="89">
        <f>TOTALIZAÇÃO!D23</f>
        <v>0</v>
      </c>
      <c r="G39" s="8">
        <f>D39*F39</f>
        <v>0</v>
      </c>
      <c r="H39" s="54">
        <f t="shared" si="0"/>
        <v>0</v>
      </c>
      <c r="I39" s="55">
        <f t="shared" si="1"/>
        <v>0</v>
      </c>
      <c r="J39" s="55">
        <f t="shared" si="2"/>
        <v>0</v>
      </c>
      <c r="K39" s="55">
        <f t="shared" si="3"/>
        <v>0</v>
      </c>
      <c r="L39" s="6"/>
    </row>
    <row r="40" spans="1:12" ht="24.75" customHeight="1">
      <c r="A40"/>
      <c r="B40" s="37" t="s">
        <v>14</v>
      </c>
      <c r="C40" s="52" t="s">
        <v>1</v>
      </c>
      <c r="D40" s="52"/>
      <c r="E40" s="52"/>
      <c r="F40" s="52"/>
      <c r="G40" s="53">
        <f>IF($D$8="simples nacional",0,0.6%)</f>
        <v>0.006</v>
      </c>
      <c r="H40" s="54">
        <f t="shared" si="0"/>
        <v>0</v>
      </c>
      <c r="I40" s="55">
        <f t="shared" si="1"/>
        <v>0</v>
      </c>
      <c r="J40" s="55">
        <f t="shared" si="2"/>
        <v>0</v>
      </c>
      <c r="K40" s="55">
        <f t="shared" si="3"/>
        <v>0</v>
      </c>
      <c r="L40" s="6"/>
    </row>
    <row r="41" spans="1:22" ht="16.5" customHeight="1">
      <c r="A41"/>
      <c r="B41" s="272" t="s">
        <v>85</v>
      </c>
      <c r="C41" s="273"/>
      <c r="D41" s="273"/>
      <c r="E41" s="273"/>
      <c r="F41" s="274"/>
      <c r="G41" s="224">
        <f>SUM(G33:G40)</f>
        <v>0.3380000000000001</v>
      </c>
      <c r="H41" s="225">
        <f>SUM(H33:H40)</f>
        <v>0</v>
      </c>
      <c r="I41" s="225">
        <f>SUM(I33:I40)</f>
        <v>0</v>
      </c>
      <c r="J41" s="225">
        <f>SUM(J33:J40)</f>
        <v>0</v>
      </c>
      <c r="K41" s="225">
        <f>SUM(K33:K40)</f>
        <v>0</v>
      </c>
      <c r="L41" s="7"/>
      <c r="M41" s="104"/>
      <c r="R41" s="12"/>
      <c r="T41" s="12"/>
      <c r="U41" s="12"/>
      <c r="V41" s="12"/>
    </row>
    <row r="42" spans="1:17" s="11" customFormat="1" ht="29.25" customHeight="1">
      <c r="A42"/>
      <c r="B42" s="266" t="s">
        <v>81</v>
      </c>
      <c r="C42" s="267"/>
      <c r="D42" s="267"/>
      <c r="E42" s="267"/>
      <c r="F42" s="267"/>
      <c r="G42" s="268"/>
      <c r="H42" s="220" t="s">
        <v>16</v>
      </c>
      <c r="I42" s="220" t="s">
        <v>16</v>
      </c>
      <c r="J42" s="220" t="s">
        <v>16</v>
      </c>
      <c r="K42" s="220" t="s">
        <v>16</v>
      </c>
      <c r="L42" s="9"/>
      <c r="P42" s="9"/>
      <c r="Q42" s="9"/>
    </row>
    <row r="43" spans="1:17" s="11" customFormat="1" ht="33.75" customHeight="1">
      <c r="A43"/>
      <c r="B43" s="37" t="s">
        <v>7</v>
      </c>
      <c r="C43" s="288" t="s">
        <v>36</v>
      </c>
      <c r="D43" s="302"/>
      <c r="E43" s="302"/>
      <c r="F43" s="302"/>
      <c r="G43" s="302"/>
      <c r="H43" s="59">
        <f>IF(ROUND(TOTALIZAÇÃO!$D$17*2*TOTALIZAÇÃO!$D$27-(H17*0.06),2)&lt;0,0,ROUND(TOTALIZAÇÃO!D17*2*TOTALIZAÇÃO!$D$27-(H17*0.06),2))</f>
        <v>0</v>
      </c>
      <c r="I43" s="59">
        <f>IF(ROUND(TOTALIZAÇÃO!$D$17*2*TOTALIZAÇÃO!$D$27-(H17*0.06),2)&lt;0,0,ROUND(TOTALIZAÇÃO!D17*2*TOTALIZAÇÃO!$D$27-(H17*0.06),2))</f>
        <v>0</v>
      </c>
      <c r="J43" s="59">
        <f>IF(ROUND(TOTALIZAÇÃO!$D$17*2*TOTALIZAÇÃO!$D$28-(H17*0.06),2)&lt;0,0,ROUND(TOTALIZAÇÃO!D17*2*TOTALIZAÇÃO!$D$28-(H17*0.06),2))</f>
        <v>0</v>
      </c>
      <c r="K43" s="59">
        <f>IF(ROUND(TOTALIZAÇÃO!$D$17*2*TOTALIZAÇÃO!$D$28-(H17*0.06),2)&lt;0,0,ROUND(TOTALIZAÇÃO!D17*2*TOTALIZAÇÃO!$D$28-(H17*0.06),2))</f>
        <v>0</v>
      </c>
      <c r="L43" s="102"/>
      <c r="P43" s="9"/>
      <c r="Q43" s="9"/>
    </row>
    <row r="44" spans="1:12" ht="24.75" customHeight="1">
      <c r="A44"/>
      <c r="B44" s="37" t="s">
        <v>8</v>
      </c>
      <c r="C44" s="288" t="s">
        <v>155</v>
      </c>
      <c r="D44" s="314"/>
      <c r="E44" s="314"/>
      <c r="F44" s="314"/>
      <c r="G44" s="314"/>
      <c r="H44" s="59">
        <f>ROUND((TOTALIZAÇÃO!D15*TOTALIZAÇÃO!D27)-(H17*1%),2)</f>
        <v>0</v>
      </c>
      <c r="I44" s="59">
        <f>ROUND((TOTALIZAÇÃO!D15*TOTALIZAÇÃO!D27)-(I17*1%),2)</f>
        <v>0</v>
      </c>
      <c r="J44" s="59">
        <f>ROUND((TOTALIZAÇÃO!D15*TOTALIZAÇÃO!D28)-(J17*1%),2)</f>
        <v>0</v>
      </c>
      <c r="K44" s="59">
        <f>ROUND((TOTALIZAÇÃO!D15*TOTALIZAÇÃO!D28)-(K17*1%),2)</f>
        <v>0</v>
      </c>
      <c r="L44" s="102"/>
    </row>
    <row r="45" spans="1:12" ht="24.75" customHeight="1">
      <c r="A45"/>
      <c r="B45" s="37" t="s">
        <v>9</v>
      </c>
      <c r="C45" s="275" t="s">
        <v>189</v>
      </c>
      <c r="D45" s="276"/>
      <c r="E45" s="276"/>
      <c r="F45" s="276"/>
      <c r="G45" s="276"/>
      <c r="H45" s="59"/>
      <c r="I45" s="59">
        <f>TOTALIZAÇÃO!D21</f>
        <v>0</v>
      </c>
      <c r="J45" s="59">
        <f>TOTALIZAÇÃO!D21</f>
        <v>0</v>
      </c>
      <c r="K45" s="59">
        <f>TOTALIZAÇÃO!D21</f>
        <v>0</v>
      </c>
      <c r="L45" s="102"/>
    </row>
    <row r="46" spans="1:17" ht="24.75" customHeight="1">
      <c r="A46" s="43"/>
      <c r="B46" s="37" t="s">
        <v>10</v>
      </c>
      <c r="C46" s="275" t="s">
        <v>150</v>
      </c>
      <c r="D46" s="276"/>
      <c r="E46" s="276"/>
      <c r="F46" s="276"/>
      <c r="G46" s="276"/>
      <c r="H46" s="59">
        <f>TOTALIZAÇÃO!D19</f>
        <v>0</v>
      </c>
      <c r="I46" s="59">
        <f>TOTALIZAÇÃO!D19</f>
        <v>0</v>
      </c>
      <c r="J46" s="59">
        <f>TOTALIZAÇÃO!D19</f>
        <v>0</v>
      </c>
      <c r="K46" s="59">
        <f>TOTALIZAÇÃO!D19</f>
        <v>0</v>
      </c>
      <c r="L46" s="102"/>
      <c r="M46" s="11"/>
      <c r="N46" s="11"/>
      <c r="O46" s="11"/>
      <c r="P46" s="11"/>
      <c r="Q46" s="11"/>
    </row>
    <row r="47" spans="1:17" ht="24.75" customHeight="1">
      <c r="A47" s="43"/>
      <c r="B47" s="37" t="s">
        <v>11</v>
      </c>
      <c r="C47" s="271" t="s">
        <v>169</v>
      </c>
      <c r="D47" s="271"/>
      <c r="E47" s="271"/>
      <c r="F47" s="271"/>
      <c r="G47" s="50"/>
      <c r="H47" s="51">
        <f>ROUND((SUM(H$17:H$20)/220)*1.5*TOTALIZAÇÃO!D$27,2)</f>
        <v>0</v>
      </c>
      <c r="I47" s="51">
        <f>ROUND((SUM(I$17:I$20)/220)*1.5*TOTALIZAÇÃO!D$27,2)</f>
        <v>0</v>
      </c>
      <c r="J47" s="51">
        <f>ROUND((SUM(J$17:J$20)/220)*1.5*TOTALIZAÇÃO!D$28,2)</f>
        <v>0</v>
      </c>
      <c r="K47" s="51">
        <f>ROUND((SUM(K$17:K$20)/220)*1.5*TOTALIZAÇÃO!D$28,2)</f>
        <v>0</v>
      </c>
      <c r="L47" s="11"/>
      <c r="M47" s="11"/>
      <c r="N47" s="11"/>
      <c r="O47" s="11"/>
      <c r="P47" s="11"/>
      <c r="Q47" s="11"/>
    </row>
    <row r="48" spans="1:11" ht="24.75" customHeight="1">
      <c r="A48" s="18"/>
      <c r="B48" s="272" t="s">
        <v>82</v>
      </c>
      <c r="C48" s="273"/>
      <c r="D48" s="273"/>
      <c r="E48" s="273"/>
      <c r="F48" s="273"/>
      <c r="G48" s="274"/>
      <c r="H48" s="225">
        <f>ROUND(SUM(H43:H47),2)</f>
        <v>0</v>
      </c>
      <c r="I48" s="225">
        <f>ROUND(SUM(I43:I47),2)</f>
        <v>0</v>
      </c>
      <c r="J48" s="225">
        <f>ROUND(SUM(J43:J47),2)</f>
        <v>0</v>
      </c>
      <c r="K48" s="225">
        <f>ROUND(SUM(K43:K47),2)</f>
        <v>0</v>
      </c>
    </row>
    <row r="49" spans="1:11" ht="24.75" customHeight="1">
      <c r="A49" s="18"/>
      <c r="B49" s="266" t="s">
        <v>86</v>
      </c>
      <c r="C49" s="267"/>
      <c r="D49" s="267"/>
      <c r="E49" s="267"/>
      <c r="F49" s="268"/>
      <c r="G49" s="222" t="s">
        <v>23</v>
      </c>
      <c r="H49" s="220" t="s">
        <v>16</v>
      </c>
      <c r="I49" s="220" t="s">
        <v>16</v>
      </c>
      <c r="J49" s="220" t="s">
        <v>16</v>
      </c>
      <c r="K49" s="220" t="s">
        <v>16</v>
      </c>
    </row>
    <row r="50" spans="1:11" ht="18.75" customHeight="1">
      <c r="A50" s="18"/>
      <c r="B50" s="37" t="s">
        <v>87</v>
      </c>
      <c r="C50" s="277" t="s">
        <v>152</v>
      </c>
      <c r="D50" s="278"/>
      <c r="E50" s="278"/>
      <c r="F50" s="278"/>
      <c r="G50" s="69">
        <f>G31</f>
        <v>0.1111</v>
      </c>
      <c r="H50" s="70">
        <f>H31</f>
        <v>0</v>
      </c>
      <c r="I50" s="70">
        <f>I31</f>
        <v>0</v>
      </c>
      <c r="J50" s="70">
        <f>J31</f>
        <v>0</v>
      </c>
      <c r="K50" s="70">
        <f>K31</f>
        <v>0</v>
      </c>
    </row>
    <row r="51" spans="1:11" ht="15.75" customHeight="1">
      <c r="A51" s="18"/>
      <c r="B51" s="37" t="s">
        <v>88</v>
      </c>
      <c r="C51" s="278" t="s">
        <v>90</v>
      </c>
      <c r="D51" s="278"/>
      <c r="E51" s="278"/>
      <c r="F51" s="278"/>
      <c r="G51" s="69">
        <f>G41</f>
        <v>0.3380000000000001</v>
      </c>
      <c r="H51" s="71">
        <f>H41</f>
        <v>0</v>
      </c>
      <c r="I51" s="71">
        <f>I41</f>
        <v>0</v>
      </c>
      <c r="J51" s="71">
        <f>J41</f>
        <v>0</v>
      </c>
      <c r="K51" s="71">
        <f>K41</f>
        <v>0</v>
      </c>
    </row>
    <row r="52" spans="1:11" ht="14.25" customHeight="1">
      <c r="A52" s="18"/>
      <c r="B52" s="37" t="s">
        <v>89</v>
      </c>
      <c r="C52" s="278" t="s">
        <v>91</v>
      </c>
      <c r="D52" s="278"/>
      <c r="E52" s="278"/>
      <c r="F52" s="278"/>
      <c r="G52" s="278"/>
      <c r="H52" s="71">
        <f>H48</f>
        <v>0</v>
      </c>
      <c r="I52" s="71">
        <f>I48</f>
        <v>0</v>
      </c>
      <c r="J52" s="71">
        <f>J48</f>
        <v>0</v>
      </c>
      <c r="K52" s="71">
        <f>K48</f>
        <v>0</v>
      </c>
    </row>
    <row r="53" spans="1:11" ht="16.5" customHeight="1">
      <c r="A53" s="18"/>
      <c r="B53" s="272" t="s">
        <v>92</v>
      </c>
      <c r="C53" s="273"/>
      <c r="D53" s="273"/>
      <c r="E53" s="273"/>
      <c r="F53" s="273"/>
      <c r="G53" s="274"/>
      <c r="H53" s="225">
        <f>SUM(H50:H52)</f>
        <v>0</v>
      </c>
      <c r="I53" s="225">
        <f>SUM(I50:I52)</f>
        <v>0</v>
      </c>
      <c r="J53" s="225">
        <f>SUM(J50:J52)</f>
        <v>0</v>
      </c>
      <c r="K53" s="225">
        <f>SUM(K50:K52)</f>
        <v>0</v>
      </c>
    </row>
    <row r="54" s="64" customFormat="1" ht="16.5" customHeight="1"/>
    <row r="55" spans="1:17" s="11" customFormat="1" ht="30" customHeight="1" thickBot="1">
      <c r="A55" s="22"/>
      <c r="B55" s="266" t="s">
        <v>93</v>
      </c>
      <c r="C55" s="267"/>
      <c r="D55" s="267"/>
      <c r="E55" s="267"/>
      <c r="F55" s="268"/>
      <c r="G55" s="222" t="s">
        <v>28</v>
      </c>
      <c r="H55" s="220" t="s">
        <v>16</v>
      </c>
      <c r="I55" s="220" t="s">
        <v>16</v>
      </c>
      <c r="J55" s="220" t="s">
        <v>16</v>
      </c>
      <c r="K55" s="220" t="s">
        <v>16</v>
      </c>
      <c r="L55" s="64"/>
      <c r="M55" s="64"/>
      <c r="N55" s="64"/>
      <c r="O55" s="9"/>
      <c r="P55" s="9"/>
      <c r="Q55" s="9"/>
    </row>
    <row r="56" spans="1:23" ht="15" customHeight="1" thickBot="1" thickTop="1">
      <c r="A56" s="72">
        <f>0.05*(1/12)</f>
        <v>0.004166666666666667</v>
      </c>
      <c r="B56" s="48" t="s">
        <v>7</v>
      </c>
      <c r="C56" s="269" t="s">
        <v>41</v>
      </c>
      <c r="D56" s="270"/>
      <c r="E56" s="270"/>
      <c r="F56" s="270"/>
      <c r="G56" s="45">
        <f aca="true" t="shared" si="4" ref="G56:G61">A56</f>
        <v>0.004166666666666667</v>
      </c>
      <c r="H56" s="49">
        <f>ROUND(G56*$H$25,2)</f>
        <v>0</v>
      </c>
      <c r="I56" s="49">
        <f>ROUND(G56*$I$25,2)</f>
        <v>0</v>
      </c>
      <c r="J56" s="49">
        <f>ROUND(G56*$J$25,2)</f>
        <v>0</v>
      </c>
      <c r="K56" s="49">
        <f>ROUND(G56*$K$25,2)</f>
        <v>0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</row>
    <row r="57" spans="1:23" s="11" customFormat="1" ht="24.75" customHeight="1" thickBot="1" thickTop="1">
      <c r="A57" s="73">
        <f>0.08*G56</f>
        <v>0.0003333333333333333</v>
      </c>
      <c r="B57" s="48" t="s">
        <v>8</v>
      </c>
      <c r="C57" s="269" t="s">
        <v>31</v>
      </c>
      <c r="D57" s="270"/>
      <c r="E57" s="270"/>
      <c r="F57" s="270"/>
      <c r="G57" s="45">
        <f t="shared" si="4"/>
        <v>0.0003333333333333333</v>
      </c>
      <c r="H57" s="49">
        <f>ROUND(G57*$H$25,2)</f>
        <v>0</v>
      </c>
      <c r="I57" s="49">
        <f>ROUND(G57*$I$25,2)</f>
        <v>0</v>
      </c>
      <c r="J57" s="49">
        <f>ROUND(G57*$J$25,2)</f>
        <v>0</v>
      </c>
      <c r="K57" s="49">
        <f>ROUND(G57*$K$25,2)</f>
        <v>0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1:23" s="11" customFormat="1" ht="24.75" customHeight="1" thickBot="1" thickTop="1">
      <c r="A58" s="74">
        <f>(0.08*(0.4)*0.9)*((1+5/56+5/56)+(1/3*5/56))</f>
        <v>0.0348</v>
      </c>
      <c r="B58" s="48" t="s">
        <v>9</v>
      </c>
      <c r="C58" s="269" t="s">
        <v>167</v>
      </c>
      <c r="D58" s="270"/>
      <c r="E58" s="270"/>
      <c r="F58" s="270"/>
      <c r="G58" s="45">
        <f t="shared" si="4"/>
        <v>0.0348</v>
      </c>
      <c r="H58" s="49">
        <f>ROUND(G58*$H$25,2)</f>
        <v>0</v>
      </c>
      <c r="I58" s="49">
        <f>ROUND(G58*$I$25,2)</f>
        <v>0</v>
      </c>
      <c r="J58" s="49">
        <f>ROUND(G58*$J$25,2)</f>
        <v>0</v>
      </c>
      <c r="K58" s="49">
        <f>ROUND(G58*$K$25,2)</f>
        <v>0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s="11" customFormat="1" ht="24.75" customHeight="1" thickBot="1" thickTop="1">
      <c r="A59" s="74">
        <f>(7/30)/12</f>
        <v>0.019444444444444445</v>
      </c>
      <c r="B59" s="48" t="s">
        <v>10</v>
      </c>
      <c r="C59" s="269" t="s">
        <v>42</v>
      </c>
      <c r="D59" s="270"/>
      <c r="E59" s="270"/>
      <c r="F59" s="270"/>
      <c r="G59" s="45">
        <f t="shared" si="4"/>
        <v>0.019444444444444445</v>
      </c>
      <c r="H59" s="49">
        <f>ROUND(G59*$H$25,2)</f>
        <v>0</v>
      </c>
      <c r="I59" s="49">
        <f>ROUND(G59*$I$25,2)</f>
        <v>0</v>
      </c>
      <c r="J59" s="49">
        <f>ROUND(G59*$J$25,2)</f>
        <v>0</v>
      </c>
      <c r="K59" s="49">
        <f>ROUND(G59*$K$25,2)</f>
        <v>0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1:23" s="11" customFormat="1" ht="24.75" customHeight="1" thickBot="1" thickTop="1">
      <c r="A60" s="75">
        <f>G59*G41</f>
        <v>0.006572222222222224</v>
      </c>
      <c r="B60" s="48" t="s">
        <v>11</v>
      </c>
      <c r="C60" s="269" t="s">
        <v>94</v>
      </c>
      <c r="D60" s="270"/>
      <c r="E60" s="270"/>
      <c r="F60" s="270"/>
      <c r="G60" s="45">
        <f t="shared" si="4"/>
        <v>0.006572222222222224</v>
      </c>
      <c r="H60" s="49">
        <f>ROUND($G$60*H25,2)</f>
        <v>0</v>
      </c>
      <c r="I60" s="49">
        <f>ROUND($G$60*I25,2)</f>
        <v>0</v>
      </c>
      <c r="J60" s="49">
        <f>ROUND($G$60*J25,2)</f>
        <v>0</v>
      </c>
      <c r="K60" s="49">
        <f>ROUND($G$60*K25,2)</f>
        <v>0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s="11" customFormat="1" ht="24.75" customHeight="1" thickBot="1" thickTop="1">
      <c r="A61" s="74">
        <f>0.08*(0.4)*G59</f>
        <v>0.0006222222222222223</v>
      </c>
      <c r="B61" s="48" t="s">
        <v>12</v>
      </c>
      <c r="C61" s="269" t="s">
        <v>168</v>
      </c>
      <c r="D61" s="270"/>
      <c r="E61" s="270"/>
      <c r="F61" s="270"/>
      <c r="G61" s="45">
        <f t="shared" si="4"/>
        <v>0.0006222222222222223</v>
      </c>
      <c r="H61" s="49">
        <f>ROUND($G$61*(H25+H31),2)</f>
        <v>0</v>
      </c>
      <c r="I61" s="49">
        <f>ROUND($G$61*(I25+I31),2)</f>
        <v>0</v>
      </c>
      <c r="J61" s="49">
        <f>ROUND($G$61*(J25+J31),2)</f>
        <v>0</v>
      </c>
      <c r="K61" s="49">
        <f>ROUND($G$61*(K25+K31),2)</f>
        <v>0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s="11" customFormat="1" ht="21" customHeight="1" thickTop="1">
      <c r="A62" s="18"/>
      <c r="B62" s="272" t="s">
        <v>95</v>
      </c>
      <c r="C62" s="273"/>
      <c r="D62" s="273"/>
      <c r="E62" s="273"/>
      <c r="F62" s="273"/>
      <c r="G62" s="274"/>
      <c r="H62" s="225">
        <f>SUM(H56:H61)</f>
        <v>0</v>
      </c>
      <c r="I62" s="225">
        <f>SUM(I56:I61)</f>
        <v>0</v>
      </c>
      <c r="J62" s="225">
        <f>SUM(J56:J61)</f>
        <v>0</v>
      </c>
      <c r="K62" s="225">
        <f>SUM(K56:K61)</f>
        <v>0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1:23" ht="15.75" customHeight="1">
      <c r="A63" s="18"/>
      <c r="B63" s="64"/>
      <c r="C63" s="10"/>
      <c r="D63" s="10"/>
      <c r="E63" s="10"/>
      <c r="F63" s="10"/>
      <c r="G63" s="10"/>
      <c r="H63" s="10"/>
      <c r="I63" s="10"/>
      <c r="J63" s="10"/>
      <c r="K63" s="10"/>
      <c r="L63" s="103"/>
      <c r="M63" s="35"/>
      <c r="O63" s="64"/>
      <c r="P63" s="64"/>
      <c r="Q63" s="64"/>
      <c r="R63" s="64"/>
      <c r="S63" s="64"/>
      <c r="T63" s="64"/>
      <c r="U63" s="64"/>
      <c r="V63" s="64"/>
      <c r="W63" s="64"/>
    </row>
    <row r="64" spans="1:23" ht="30" customHeight="1" thickBot="1">
      <c r="A64" s="18"/>
      <c r="B64" s="266" t="s">
        <v>96</v>
      </c>
      <c r="C64" s="267"/>
      <c r="D64" s="267"/>
      <c r="E64" s="267"/>
      <c r="F64" s="268"/>
      <c r="G64" s="222" t="s">
        <v>28</v>
      </c>
      <c r="H64" s="220" t="s">
        <v>16</v>
      </c>
      <c r="I64" s="220" t="s">
        <v>16</v>
      </c>
      <c r="J64" s="220" t="s">
        <v>16</v>
      </c>
      <c r="K64" s="220" t="s">
        <v>16</v>
      </c>
      <c r="M64" s="108"/>
      <c r="O64" s="64"/>
      <c r="P64" s="64"/>
      <c r="Q64" s="64"/>
      <c r="R64" s="64"/>
      <c r="S64" s="64"/>
      <c r="T64" s="64"/>
      <c r="U64" s="64"/>
      <c r="V64" s="64"/>
      <c r="W64" s="64"/>
    </row>
    <row r="65" spans="1:23" s="11" customFormat="1" ht="15" customHeight="1" thickBot="1" thickTop="1">
      <c r="A65" s="76">
        <f>(1/12)</f>
        <v>0.08333333333333333</v>
      </c>
      <c r="B65" s="37" t="s">
        <v>7</v>
      </c>
      <c r="C65" s="269" t="s">
        <v>97</v>
      </c>
      <c r="D65" s="270"/>
      <c r="E65" s="270"/>
      <c r="F65" s="270"/>
      <c r="G65" s="45">
        <f>A65</f>
        <v>0.08333333333333333</v>
      </c>
      <c r="H65" s="46">
        <f>ROUND($H$25*G65,2)</f>
        <v>0</v>
      </c>
      <c r="I65" s="46">
        <f>ROUND($I$25*G65,2)</f>
        <v>0</v>
      </c>
      <c r="J65" s="46">
        <f>ROUND($J$25*G65,2)</f>
        <v>0</v>
      </c>
      <c r="K65" s="46">
        <f>ROUND($K$25*G65,2)</f>
        <v>0</v>
      </c>
      <c r="M65" s="34"/>
      <c r="N65" s="9"/>
      <c r="O65" s="64"/>
      <c r="P65" s="64"/>
      <c r="Q65" s="64"/>
      <c r="R65" s="64"/>
      <c r="S65" s="64"/>
      <c r="T65" s="64"/>
      <c r="U65" s="64"/>
      <c r="V65" s="64"/>
      <c r="W65" s="64"/>
    </row>
    <row r="66" spans="1:23" s="11" customFormat="1" ht="15" customHeight="1" thickBot="1" thickTop="1">
      <c r="A66" s="76">
        <f>(6/360)/12</f>
        <v>0.001388888888888889</v>
      </c>
      <c r="B66" s="47" t="s">
        <v>8</v>
      </c>
      <c r="C66" s="269" t="s">
        <v>153</v>
      </c>
      <c r="D66" s="270"/>
      <c r="E66" s="270"/>
      <c r="F66" s="270"/>
      <c r="G66" s="45">
        <f>A66</f>
        <v>0.001388888888888889</v>
      </c>
      <c r="H66" s="46">
        <f>ROUND($H$25*G66,2)</f>
        <v>0</v>
      </c>
      <c r="I66" s="46">
        <f>ROUND($I$25*G66,2)</f>
        <v>0</v>
      </c>
      <c r="J66" s="46">
        <f>ROUND($J$25*G66,2)</f>
        <v>0</v>
      </c>
      <c r="K66" s="46">
        <f>ROUND($K$25*G66,2)</f>
        <v>0</v>
      </c>
      <c r="M66" s="41"/>
      <c r="N66" s="41"/>
      <c r="O66" s="64"/>
      <c r="P66" s="64"/>
      <c r="Q66" s="64"/>
      <c r="R66" s="64"/>
      <c r="S66" s="64"/>
      <c r="T66" s="64"/>
      <c r="U66" s="64"/>
      <c r="V66" s="64"/>
      <c r="W66" s="64"/>
    </row>
    <row r="67" spans="1:23" ht="15" customHeight="1" thickBot="1" thickTop="1">
      <c r="A67" s="76">
        <f>5/360*0.015</f>
        <v>0.00020833333333333332</v>
      </c>
      <c r="B67" s="47" t="s">
        <v>9</v>
      </c>
      <c r="C67" s="269" t="s">
        <v>154</v>
      </c>
      <c r="D67" s="270"/>
      <c r="E67" s="270"/>
      <c r="F67" s="270"/>
      <c r="G67" s="45">
        <f>A67</f>
        <v>0.00020833333333333332</v>
      </c>
      <c r="H67" s="46">
        <f>ROUND($H$25*G67,2)</f>
        <v>0</v>
      </c>
      <c r="I67" s="46">
        <f>ROUND($I$25*G67,2)</f>
        <v>0</v>
      </c>
      <c r="J67" s="46">
        <f>ROUND($J$25*G67,2)</f>
        <v>0</v>
      </c>
      <c r="K67" s="46">
        <f>ROUND($K$25*G67,2)</f>
        <v>0</v>
      </c>
      <c r="M67" s="42"/>
      <c r="N67" s="42"/>
      <c r="O67" s="64"/>
      <c r="P67" s="64"/>
      <c r="Q67" s="64"/>
      <c r="R67" s="64"/>
      <c r="S67" s="64"/>
      <c r="T67" s="64"/>
      <c r="U67" s="64"/>
      <c r="V67" s="64"/>
      <c r="W67" s="64"/>
    </row>
    <row r="68" spans="1:23" ht="15" customHeight="1" thickBot="1" thickTop="1">
      <c r="A68" s="76">
        <f>15/360*3.02/100</f>
        <v>0.0012583333333333333</v>
      </c>
      <c r="B68" s="47" t="s">
        <v>10</v>
      </c>
      <c r="C68" s="269" t="s">
        <v>99</v>
      </c>
      <c r="D68" s="270"/>
      <c r="E68" s="270"/>
      <c r="F68" s="270"/>
      <c r="G68" s="98">
        <f>A68</f>
        <v>0.0012583333333333333</v>
      </c>
      <c r="H68" s="46">
        <f>ROUND($H$25*G68,2)</f>
        <v>0</v>
      </c>
      <c r="I68" s="46">
        <f>ROUND($I$25*G68,2)</f>
        <v>0</v>
      </c>
      <c r="J68" s="46">
        <f>ROUND($J$25*G68,2)</f>
        <v>0</v>
      </c>
      <c r="K68" s="46">
        <f>ROUND($K$25*G68,2)</f>
        <v>0</v>
      </c>
      <c r="M68" s="41"/>
      <c r="N68" s="41"/>
      <c r="O68" s="64"/>
      <c r="P68" s="64"/>
      <c r="Q68" s="64"/>
      <c r="R68" s="64"/>
      <c r="S68" s="64"/>
      <c r="T68" s="64"/>
      <c r="U68" s="64"/>
      <c r="V68" s="64"/>
      <c r="W68" s="64"/>
    </row>
    <row r="69" spans="1:23" ht="15" customHeight="1" thickBot="1" thickTop="1">
      <c r="A69" s="76">
        <f>0.5*0.01416*(4/12)*(0.0893+0.0893+0.0298)</f>
        <v>0.0004918240000000001</v>
      </c>
      <c r="B69" s="37" t="s">
        <v>11</v>
      </c>
      <c r="C69" s="269" t="s">
        <v>18</v>
      </c>
      <c r="D69" s="270"/>
      <c r="E69" s="270"/>
      <c r="F69" s="270"/>
      <c r="G69" s="45">
        <f>A69</f>
        <v>0.0004918240000000001</v>
      </c>
      <c r="H69" s="46">
        <f>ROUND($H$25*G69,2)</f>
        <v>0</v>
      </c>
      <c r="I69" s="46">
        <f>ROUND($I$25*G69,2)</f>
        <v>0</v>
      </c>
      <c r="J69" s="46">
        <f>ROUND($J$25*G69,2)</f>
        <v>0</v>
      </c>
      <c r="K69" s="46">
        <f>ROUND($K$25*G69,2)</f>
        <v>0</v>
      </c>
      <c r="O69" s="64"/>
      <c r="P69" s="64"/>
      <c r="Q69" s="64"/>
      <c r="R69" s="64"/>
      <c r="S69" s="64"/>
      <c r="T69" s="64"/>
      <c r="U69" s="64"/>
      <c r="V69" s="64"/>
      <c r="W69" s="64"/>
    </row>
    <row r="70" spans="1:23" ht="15" customHeight="1" thickTop="1">
      <c r="A70" s="18"/>
      <c r="B70" s="37" t="s">
        <v>12</v>
      </c>
      <c r="C70" s="262" t="s">
        <v>17</v>
      </c>
      <c r="D70" s="262"/>
      <c r="E70" s="262"/>
      <c r="F70" s="262"/>
      <c r="G70" s="262"/>
      <c r="H70" s="230"/>
      <c r="I70" s="230"/>
      <c r="J70" s="230"/>
      <c r="K70" s="230"/>
      <c r="M70" s="34"/>
      <c r="O70" s="64"/>
      <c r="P70" s="64"/>
      <c r="Q70" s="64"/>
      <c r="R70" s="64"/>
      <c r="S70" s="64"/>
      <c r="T70" s="64"/>
      <c r="U70" s="64"/>
      <c r="V70" s="64"/>
      <c r="W70" s="64"/>
    </row>
    <row r="71" spans="1:23" s="14" customFormat="1" ht="15" customHeight="1">
      <c r="A71" s="23"/>
      <c r="B71" s="263" t="s">
        <v>22</v>
      </c>
      <c r="C71" s="264"/>
      <c r="D71" s="264"/>
      <c r="E71" s="264"/>
      <c r="F71" s="264"/>
      <c r="G71" s="265"/>
      <c r="H71" s="95">
        <f>SUM(H65:H70)</f>
        <v>0</v>
      </c>
      <c r="I71" s="95">
        <f>SUM(I65:I70)</f>
        <v>0</v>
      </c>
      <c r="J71" s="95">
        <f>SUM(J65:J70)</f>
        <v>0</v>
      </c>
      <c r="K71" s="95">
        <f>SUM(K65:K70)</f>
        <v>0</v>
      </c>
      <c r="O71" s="64"/>
      <c r="P71" s="64"/>
      <c r="Q71" s="64"/>
      <c r="R71" s="64"/>
      <c r="S71" s="64"/>
      <c r="T71" s="64"/>
      <c r="U71" s="64"/>
      <c r="V71" s="64"/>
      <c r="W71" s="64"/>
    </row>
    <row r="72" spans="1:23" s="14" customFormat="1" ht="15" customHeight="1">
      <c r="A72" s="23"/>
      <c r="B72" s="37" t="s">
        <v>13</v>
      </c>
      <c r="C72" s="269" t="s">
        <v>100</v>
      </c>
      <c r="D72" s="270"/>
      <c r="E72" s="270"/>
      <c r="F72" s="270"/>
      <c r="G72" s="45">
        <f>SUM(G65:G69)*G41</f>
        <v>0.02929808095644445</v>
      </c>
      <c r="H72" s="46">
        <f>ROUND($G$72*H25,2)</f>
        <v>0</v>
      </c>
      <c r="I72" s="46">
        <f>ROUND($G$72*I25,2)</f>
        <v>0</v>
      </c>
      <c r="J72" s="46">
        <f>ROUND($G$72*J25,2)</f>
        <v>0</v>
      </c>
      <c r="K72" s="46">
        <f>ROUND($G$72*K25,2)</f>
        <v>0</v>
      </c>
      <c r="L72" s="7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1:23" ht="23.25" customHeight="1">
      <c r="A73" s="23"/>
      <c r="B73" s="272" t="s">
        <v>98</v>
      </c>
      <c r="C73" s="273"/>
      <c r="D73" s="273"/>
      <c r="E73" s="273"/>
      <c r="F73" s="273"/>
      <c r="G73" s="274"/>
      <c r="H73" s="226">
        <f>SUM(H71:H72)</f>
        <v>0</v>
      </c>
      <c r="I73" s="226">
        <f>SUM(I71:I72)</f>
        <v>0</v>
      </c>
      <c r="J73" s="226">
        <f>SUM(J71:J72)</f>
        <v>0</v>
      </c>
      <c r="K73" s="226">
        <f>SUM(K71:K72)</f>
        <v>0</v>
      </c>
      <c r="L73" s="11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1:23" ht="15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11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1:23" ht="31.5" customHeight="1">
      <c r="A75"/>
      <c r="B75" s="266" t="s">
        <v>125</v>
      </c>
      <c r="C75" s="267"/>
      <c r="D75" s="267"/>
      <c r="E75" s="267"/>
      <c r="F75" s="267"/>
      <c r="G75" s="268"/>
      <c r="H75" s="220" t="s">
        <v>16</v>
      </c>
      <c r="I75" s="220" t="s">
        <v>16</v>
      </c>
      <c r="J75" s="220" t="s">
        <v>16</v>
      </c>
      <c r="K75" s="220" t="s">
        <v>16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1:23" s="12" customFormat="1" ht="16.5" customHeight="1">
      <c r="A76"/>
      <c r="B76" s="128" t="s">
        <v>7</v>
      </c>
      <c r="C76" s="271" t="s">
        <v>141</v>
      </c>
      <c r="D76" s="271"/>
      <c r="E76" s="271"/>
      <c r="F76" s="271"/>
      <c r="G76" s="271"/>
      <c r="H76" s="129">
        <f>'Uniformes&amp;Equipamentos'!F21</f>
        <v>0</v>
      </c>
      <c r="I76" s="129">
        <f>'Uniformes&amp;Equipamentos'!F21</f>
        <v>0</v>
      </c>
      <c r="J76" s="129">
        <f>'Uniformes&amp;Equipamentos'!F21</f>
        <v>0</v>
      </c>
      <c r="K76" s="129">
        <f>'Uniformes&amp;Equipamentos'!F21</f>
        <v>0</v>
      </c>
      <c r="L76" s="9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1:23" ht="15" customHeight="1">
      <c r="A77"/>
      <c r="B77" s="128" t="s">
        <v>8</v>
      </c>
      <c r="C77" s="279" t="s">
        <v>142</v>
      </c>
      <c r="D77" s="280"/>
      <c r="E77" s="280"/>
      <c r="F77" s="280"/>
      <c r="G77" s="281"/>
      <c r="H77" s="129">
        <f>'Uniformes&amp;Equipamentos'!G40</f>
        <v>0</v>
      </c>
      <c r="I77" s="129">
        <f>'Uniformes&amp;Equipamentos'!G40</f>
        <v>0</v>
      </c>
      <c r="J77" s="129">
        <f>'Uniformes&amp;Equipamentos'!G40</f>
        <v>0</v>
      </c>
      <c r="K77" s="129">
        <f>'Uniformes&amp;Equipamentos'!G40</f>
        <v>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1:23" ht="15" customHeight="1">
      <c r="A78"/>
      <c r="B78" s="130" t="s">
        <v>9</v>
      </c>
      <c r="C78" s="271" t="s">
        <v>166</v>
      </c>
      <c r="D78" s="271"/>
      <c r="E78" s="271"/>
      <c r="F78" s="271"/>
      <c r="G78" s="271"/>
      <c r="H78" s="129">
        <f>'Uniformes&amp;Equipamentos'!H58</f>
        <v>0</v>
      </c>
      <c r="I78" s="129">
        <f>'Uniformes&amp;Equipamentos'!H58</f>
        <v>0</v>
      </c>
      <c r="J78" s="129">
        <f>'Uniformes&amp;Equipamentos'!H58</f>
        <v>0</v>
      </c>
      <c r="K78" s="129">
        <f>'Uniformes&amp;Equipamentos'!H58</f>
        <v>0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  <row r="79" spans="1:23" ht="17.25" customHeight="1">
      <c r="A79"/>
      <c r="B79" s="130"/>
      <c r="C79" s="271"/>
      <c r="D79" s="271"/>
      <c r="E79" s="271"/>
      <c r="F79" s="271"/>
      <c r="G79" s="271"/>
      <c r="H79" s="129"/>
      <c r="I79" s="129"/>
      <c r="J79" s="129"/>
      <c r="K79" s="129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</row>
    <row r="80" spans="1:23" s="12" customFormat="1" ht="15.75" customHeight="1">
      <c r="A80" s="19"/>
      <c r="B80" s="130"/>
      <c r="C80" s="279"/>
      <c r="D80" s="280"/>
      <c r="E80" s="280"/>
      <c r="F80" s="280"/>
      <c r="G80" s="281"/>
      <c r="H80" s="129"/>
      <c r="I80" s="129"/>
      <c r="J80" s="129"/>
      <c r="K80" s="129"/>
      <c r="L80" s="11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pans="1:23" s="1" customFormat="1" ht="24.75" customHeight="1">
      <c r="A81" s="19"/>
      <c r="B81" s="272" t="s">
        <v>101</v>
      </c>
      <c r="C81" s="273"/>
      <c r="D81" s="273"/>
      <c r="E81" s="273"/>
      <c r="F81" s="273"/>
      <c r="G81" s="274"/>
      <c r="H81" s="225">
        <f>SUM(H76:H80)</f>
        <v>0</v>
      </c>
      <c r="I81" s="225">
        <f>SUM(I76:I80)</f>
        <v>0</v>
      </c>
      <c r="J81" s="225">
        <f>SUM(J76:J80)</f>
        <v>0</v>
      </c>
      <c r="K81" s="225">
        <f>SUM(K76:K80)</f>
        <v>0</v>
      </c>
      <c r="L81" s="9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</row>
    <row r="82" spans="1:23" ht="11.25" customHeight="1">
      <c r="A82" s="19"/>
      <c r="B82" s="10"/>
      <c r="C82" s="40"/>
      <c r="D82" s="40"/>
      <c r="E82" s="40"/>
      <c r="F82" s="40"/>
      <c r="G82" s="40"/>
      <c r="H82" s="40"/>
      <c r="I82" s="40"/>
      <c r="J82" s="40"/>
      <c r="K82" s="40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</row>
    <row r="83" spans="1:23" ht="30.75" customHeight="1">
      <c r="A83" s="64"/>
      <c r="B83" s="266" t="s">
        <v>102</v>
      </c>
      <c r="C83" s="267"/>
      <c r="D83" s="267"/>
      <c r="E83" s="267"/>
      <c r="F83" s="268"/>
      <c r="G83" s="222" t="s">
        <v>21</v>
      </c>
      <c r="H83" s="220" t="s">
        <v>16</v>
      </c>
      <c r="I83" s="220" t="s">
        <v>16</v>
      </c>
      <c r="J83" s="220" t="s">
        <v>16</v>
      </c>
      <c r="K83" s="220" t="s">
        <v>16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</row>
    <row r="84" spans="1:23" ht="15.75" customHeight="1">
      <c r="A84" s="64"/>
      <c r="B84" s="47" t="s">
        <v>7</v>
      </c>
      <c r="C84" s="277" t="s">
        <v>103</v>
      </c>
      <c r="D84" s="277"/>
      <c r="E84" s="277"/>
      <c r="F84" s="277"/>
      <c r="G84" s="231">
        <f>TOTALIZAÇÃO!D24</f>
        <v>0</v>
      </c>
      <c r="H84" s="90">
        <f>$G$84*H99</f>
        <v>0</v>
      </c>
      <c r="I84" s="90">
        <f>$G$84*I99</f>
        <v>0</v>
      </c>
      <c r="J84" s="90">
        <f>$G$84*J99</f>
        <v>0</v>
      </c>
      <c r="K84" s="90">
        <f>$G$84*K99</f>
        <v>0</v>
      </c>
      <c r="L84" s="11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</row>
    <row r="85" spans="1:23" ht="16.5" customHeight="1">
      <c r="A85" s="64"/>
      <c r="B85" s="47" t="s">
        <v>8</v>
      </c>
      <c r="C85" s="288" t="s">
        <v>57</v>
      </c>
      <c r="D85" s="288"/>
      <c r="E85" s="288"/>
      <c r="F85" s="288"/>
      <c r="G85" s="231">
        <f>TOTALIZAÇÃO!D25</f>
        <v>0</v>
      </c>
      <c r="H85" s="90">
        <f>ROUND($G$85*(H84+H99),2)</f>
        <v>0</v>
      </c>
      <c r="I85" s="90">
        <f>ROUND($G$85*(I84+I99),2)</f>
        <v>0</v>
      </c>
      <c r="J85" s="90">
        <f>ROUND($G$85*(J84+J99),2)</f>
        <v>0</v>
      </c>
      <c r="K85" s="90">
        <f>ROUND($G$85*(K84+K99),2)</f>
        <v>0</v>
      </c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</row>
    <row r="86" spans="1:23" ht="18.75" customHeight="1">
      <c r="A86" s="64"/>
      <c r="B86" s="300" t="s">
        <v>9</v>
      </c>
      <c r="C86" s="288" t="s">
        <v>104</v>
      </c>
      <c r="D86" s="289"/>
      <c r="E86" s="289"/>
      <c r="F86" s="289"/>
      <c r="G86" s="289"/>
      <c r="H86" s="289"/>
      <c r="I86" s="289"/>
      <c r="J86" s="289"/>
      <c r="K86" s="289"/>
      <c r="L86" s="12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</row>
    <row r="87" spans="2:23" ht="15" customHeight="1">
      <c r="B87" s="300"/>
      <c r="C87" s="91" t="s">
        <v>105</v>
      </c>
      <c r="D87" s="92"/>
      <c r="E87" s="92"/>
      <c r="F87" s="181">
        <v>0.0065</v>
      </c>
      <c r="G87" s="301">
        <f>SUM(F87:F89)</f>
        <v>0.0365</v>
      </c>
      <c r="H87" s="63">
        <f>$F$87*((H99+H84+H85)/(1-$G$87))</f>
        <v>0</v>
      </c>
      <c r="I87" s="63">
        <f>$F$87*((I99+I84+I85)/(1-$G$87))</f>
        <v>0</v>
      </c>
      <c r="J87" s="63">
        <f>$F$87*((J99+J84+J85)/(1-$G$87))</f>
        <v>0</v>
      </c>
      <c r="K87" s="63">
        <f>$F$87*((K99+K84+K85)/(1-$G$87))</f>
        <v>0</v>
      </c>
      <c r="M87" s="261" t="s">
        <v>135</v>
      </c>
      <c r="N87" s="261"/>
      <c r="O87" s="261"/>
      <c r="P87" s="64"/>
      <c r="Q87" s="64"/>
      <c r="R87" s="64"/>
      <c r="S87" s="64"/>
      <c r="T87" s="64"/>
      <c r="U87" s="64"/>
      <c r="V87" s="64"/>
      <c r="W87" s="64"/>
    </row>
    <row r="88" spans="1:23" ht="15.75" customHeight="1">
      <c r="A88"/>
      <c r="B88" s="300"/>
      <c r="C88" s="91" t="s">
        <v>106</v>
      </c>
      <c r="D88" s="91"/>
      <c r="E88" s="91"/>
      <c r="F88" s="181">
        <v>0.03</v>
      </c>
      <c r="G88" s="301"/>
      <c r="H88" s="63">
        <f>$F$88*((H99+H84+H85)/(1-$G$87))</f>
        <v>0</v>
      </c>
      <c r="I88" s="63">
        <f>$F$88*((I99+I84+I85)/(1-$G$87))</f>
        <v>0</v>
      </c>
      <c r="J88" s="63">
        <f>$F$88*((J99+J84+J85)/(1-$G$87))</f>
        <v>0</v>
      </c>
      <c r="K88" s="63">
        <f>$F$88*((K99+K84+K85)/(1-$G$87))</f>
        <v>0</v>
      </c>
      <c r="M88" s="261"/>
      <c r="N88" s="261"/>
      <c r="O88" s="261"/>
      <c r="P88" s="64"/>
      <c r="Q88" s="64"/>
      <c r="R88" s="64"/>
      <c r="S88" s="64"/>
      <c r="T88" s="64"/>
      <c r="U88" s="64"/>
      <c r="V88" s="64"/>
      <c r="W88" s="64"/>
    </row>
    <row r="89" spans="1:23" ht="14.25" customHeight="1">
      <c r="A89"/>
      <c r="B89" s="300"/>
      <c r="C89" s="91" t="s">
        <v>107</v>
      </c>
      <c r="D89" s="91"/>
      <c r="E89" s="91"/>
      <c r="F89" s="182">
        <f>TOTALIZAÇÃO!D26</f>
        <v>0</v>
      </c>
      <c r="G89" s="301"/>
      <c r="H89" s="63">
        <f>$F$89*((H99+H84+H85)/(1-$G$87))</f>
        <v>0</v>
      </c>
      <c r="I89" s="63">
        <f>$F$89*((I99+I84+I85)/(1-$G$87))</f>
        <v>0</v>
      </c>
      <c r="J89" s="63">
        <f>$F$89*((J99+J84+J85)/(1-$G$87))</f>
        <v>0</v>
      </c>
      <c r="K89" s="63">
        <f>$F$89*((K99+K84+K85)/(1-$G$87))</f>
        <v>0</v>
      </c>
      <c r="M89" s="261"/>
      <c r="N89" s="261"/>
      <c r="O89" s="261"/>
      <c r="P89" s="64"/>
      <c r="Q89" s="64"/>
      <c r="R89" s="64"/>
      <c r="S89" s="64"/>
      <c r="T89" s="64"/>
      <c r="U89" s="64"/>
      <c r="V89" s="64"/>
      <c r="W89" s="64"/>
    </row>
    <row r="90" spans="1:23" ht="24.75" customHeight="1">
      <c r="A90"/>
      <c r="B90" s="272" t="s">
        <v>116</v>
      </c>
      <c r="C90" s="273"/>
      <c r="D90" s="273"/>
      <c r="E90" s="273"/>
      <c r="F90" s="273"/>
      <c r="G90" s="274"/>
      <c r="H90" s="227">
        <f>SUM(H84:H85)+SUM(H87:H89)</f>
        <v>0</v>
      </c>
      <c r="I90" s="227">
        <f>SUM(I84:I85)+SUM(I87:I89)</f>
        <v>0</v>
      </c>
      <c r="J90" s="227">
        <f>SUM(J84:J85)+SUM(J87:J89)</f>
        <v>0</v>
      </c>
      <c r="K90" s="227">
        <f>SUM(K84:K85)+SUM(K87:K89)</f>
        <v>0</v>
      </c>
      <c r="L90" s="12"/>
      <c r="M90" s="261"/>
      <c r="N90" s="261"/>
      <c r="O90" s="261"/>
      <c r="P90" s="64"/>
      <c r="Q90" s="64"/>
      <c r="R90" s="64"/>
      <c r="S90" s="64"/>
      <c r="T90" s="64"/>
      <c r="U90" s="64"/>
      <c r="V90" s="64"/>
      <c r="W90" s="64"/>
    </row>
    <row r="91" spans="2:23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12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</row>
    <row r="92" spans="1:23" ht="24.75" customHeight="1">
      <c r="A92" s="93"/>
      <c r="B92" s="285" t="s">
        <v>19</v>
      </c>
      <c r="C92" s="286"/>
      <c r="D92" s="286"/>
      <c r="E92" s="286"/>
      <c r="F92" s="286"/>
      <c r="G92" s="286"/>
      <c r="H92" s="286"/>
      <c r="I92" s="286"/>
      <c r="J92" s="286"/>
      <c r="K92" s="287"/>
      <c r="L92" s="12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</row>
    <row r="93" spans="1:23" ht="15" customHeight="1">
      <c r="A93" s="93"/>
      <c r="B93" s="282" t="s">
        <v>20</v>
      </c>
      <c r="C93" s="283"/>
      <c r="D93" s="283"/>
      <c r="E93" s="283"/>
      <c r="F93" s="283"/>
      <c r="G93" s="284"/>
      <c r="H93" s="94" t="s">
        <v>16</v>
      </c>
      <c r="I93" s="94" t="s">
        <v>16</v>
      </c>
      <c r="J93" s="94" t="s">
        <v>16</v>
      </c>
      <c r="K93" s="94" t="s">
        <v>16</v>
      </c>
      <c r="L93" s="12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</row>
    <row r="94" spans="1:23" ht="15" customHeight="1">
      <c r="A94" s="18"/>
      <c r="B94" s="47" t="s">
        <v>2</v>
      </c>
      <c r="C94" s="270" t="s">
        <v>15</v>
      </c>
      <c r="D94" s="270"/>
      <c r="E94" s="270"/>
      <c r="F94" s="270"/>
      <c r="G94" s="270"/>
      <c r="H94" s="54">
        <f>H25</f>
        <v>0</v>
      </c>
      <c r="I94" s="54">
        <f>I25</f>
        <v>0</v>
      </c>
      <c r="J94" s="54">
        <f>J25</f>
        <v>0</v>
      </c>
      <c r="K94" s="54">
        <f>K25</f>
        <v>0</v>
      </c>
      <c r="L94" s="12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</row>
    <row r="95" spans="1:23" s="11" customFormat="1" ht="15" customHeight="1">
      <c r="A95" s="23"/>
      <c r="B95" s="47" t="s">
        <v>3</v>
      </c>
      <c r="C95" s="269" t="s">
        <v>108</v>
      </c>
      <c r="D95" s="270"/>
      <c r="E95" s="270"/>
      <c r="F95" s="270"/>
      <c r="G95" s="270"/>
      <c r="H95" s="54">
        <f>H53</f>
        <v>0</v>
      </c>
      <c r="I95" s="54">
        <f>I53</f>
        <v>0</v>
      </c>
      <c r="J95" s="54">
        <f>J53</f>
        <v>0</v>
      </c>
      <c r="K95" s="54">
        <f>K53</f>
        <v>0</v>
      </c>
      <c r="L95" s="12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</row>
    <row r="96" spans="1:23" s="11" customFormat="1" ht="15" customHeight="1">
      <c r="A96" s="25"/>
      <c r="B96" s="47" t="s">
        <v>4</v>
      </c>
      <c r="C96" s="269" t="s">
        <v>109</v>
      </c>
      <c r="D96" s="270"/>
      <c r="E96" s="270"/>
      <c r="F96" s="270"/>
      <c r="G96" s="270"/>
      <c r="H96" s="54">
        <f>H62</f>
        <v>0</v>
      </c>
      <c r="I96" s="54">
        <f>I62</f>
        <v>0</v>
      </c>
      <c r="J96" s="54">
        <f>J62</f>
        <v>0</v>
      </c>
      <c r="K96" s="54">
        <f>K62</f>
        <v>0</v>
      </c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</row>
    <row r="97" spans="1:23" ht="15" customHeight="1">
      <c r="A97" s="26"/>
      <c r="B97" s="47" t="s">
        <v>5</v>
      </c>
      <c r="C97" s="269" t="s">
        <v>110</v>
      </c>
      <c r="D97" s="270"/>
      <c r="E97" s="270"/>
      <c r="F97" s="270"/>
      <c r="G97" s="270"/>
      <c r="H97" s="54">
        <f>H73</f>
        <v>0</v>
      </c>
      <c r="I97" s="54">
        <f>I73</f>
        <v>0</v>
      </c>
      <c r="J97" s="54">
        <f>J73</f>
        <v>0</v>
      </c>
      <c r="K97" s="54">
        <f>K73</f>
        <v>0</v>
      </c>
      <c r="L97" s="11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</row>
    <row r="98" spans="1:23" ht="15" customHeight="1">
      <c r="A98" s="27"/>
      <c r="B98" s="47" t="s">
        <v>6</v>
      </c>
      <c r="C98" s="269" t="s">
        <v>114</v>
      </c>
      <c r="D98" s="270"/>
      <c r="E98" s="270"/>
      <c r="F98" s="270"/>
      <c r="G98" s="270"/>
      <c r="H98" s="54">
        <f>H81</f>
        <v>0</v>
      </c>
      <c r="I98" s="54">
        <f>I81</f>
        <v>0</v>
      </c>
      <c r="J98" s="54">
        <f>J81</f>
        <v>0</v>
      </c>
      <c r="K98" s="54">
        <f>K81</f>
        <v>0</v>
      </c>
      <c r="L98" s="11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</row>
    <row r="99" spans="1:23" ht="15" customHeight="1">
      <c r="A99" s="23"/>
      <c r="B99" s="272" t="s">
        <v>112</v>
      </c>
      <c r="C99" s="273"/>
      <c r="D99" s="273"/>
      <c r="E99" s="273"/>
      <c r="F99" s="273"/>
      <c r="G99" s="274"/>
      <c r="H99" s="225">
        <f>ROUND(SUM(H94:H98),2)</f>
        <v>0</v>
      </c>
      <c r="I99" s="225">
        <f>ROUND(SUM(I94:I98),2)</f>
        <v>0</v>
      </c>
      <c r="J99" s="225">
        <f>ROUND(SUM(J94:J98),2)</f>
        <v>0</v>
      </c>
      <c r="K99" s="225">
        <f>ROUND(SUM(K94:K98),2)</f>
        <v>0</v>
      </c>
      <c r="L99" s="11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</row>
    <row r="100" spans="1:23" ht="15" customHeight="1">
      <c r="A100" s="24"/>
      <c r="B100" s="48" t="s">
        <v>113</v>
      </c>
      <c r="C100" s="269" t="s">
        <v>111</v>
      </c>
      <c r="D100" s="270"/>
      <c r="E100" s="270"/>
      <c r="F100" s="270"/>
      <c r="G100" s="270"/>
      <c r="H100" s="54">
        <f>H90</f>
        <v>0</v>
      </c>
      <c r="I100" s="54">
        <f>I90</f>
        <v>0</v>
      </c>
      <c r="J100" s="54">
        <f>J90</f>
        <v>0</v>
      </c>
      <c r="K100" s="54">
        <f>K90</f>
        <v>0</v>
      </c>
      <c r="L100" s="11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</row>
    <row r="101" spans="1:23" ht="15" customHeight="1">
      <c r="A101" s="23"/>
      <c r="B101" s="272" t="s">
        <v>115</v>
      </c>
      <c r="C101" s="273"/>
      <c r="D101" s="273"/>
      <c r="E101" s="273"/>
      <c r="F101" s="273"/>
      <c r="G101" s="274"/>
      <c r="H101" s="225">
        <f>H99+H100</f>
        <v>0</v>
      </c>
      <c r="I101" s="225">
        <f>I99+I100</f>
        <v>0</v>
      </c>
      <c r="J101" s="225">
        <f>J99+J100</f>
        <v>0</v>
      </c>
      <c r="K101" s="225">
        <f>K99+K100</f>
        <v>0</v>
      </c>
      <c r="N101" s="64"/>
      <c r="O101" s="64"/>
      <c r="P101" s="64"/>
      <c r="Q101" s="64"/>
      <c r="R101" s="64"/>
      <c r="S101" s="64"/>
      <c r="T101" s="64"/>
      <c r="U101" s="64"/>
      <c r="V101" s="64"/>
      <c r="W101" s="64"/>
    </row>
    <row r="102" spans="1:23" ht="15" customHeight="1">
      <c r="A102" s="23"/>
      <c r="B102" s="3"/>
      <c r="C102" s="3"/>
      <c r="D102" s="3"/>
      <c r="E102" s="3"/>
      <c r="F102" s="3"/>
      <c r="G102" s="3"/>
      <c r="H102" s="3"/>
      <c r="I102" s="3"/>
      <c r="J102" s="3"/>
      <c r="K102" s="3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</row>
    <row r="103" spans="1:23" ht="20.25" customHeight="1">
      <c r="A103" s="64"/>
      <c r="B103" s="290" t="s">
        <v>136</v>
      </c>
      <c r="C103" s="290"/>
      <c r="D103" s="290"/>
      <c r="E103" s="290"/>
      <c r="F103" s="290"/>
      <c r="G103" s="290"/>
      <c r="H103" s="228">
        <f>IF(H101=0,0,H101/H25)</f>
        <v>0</v>
      </c>
      <c r="I103" s="228">
        <f>IF(I101=0,0,I101/I25)</f>
        <v>0</v>
      </c>
      <c r="J103" s="228">
        <f>IF(J101=0,0,J101/J25)</f>
        <v>0</v>
      </c>
      <c r="K103" s="228">
        <f>IF(K101=0,0,K101/K25)</f>
        <v>0</v>
      </c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</row>
    <row r="104" spans="1:23" ht="1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</row>
    <row r="105" spans="1:23" s="13" customFormat="1" ht="24.75" customHeight="1">
      <c r="A105" s="64"/>
      <c r="B105" s="64"/>
      <c r="C105" s="64"/>
      <c r="D105" s="64"/>
      <c r="E105" s="64"/>
      <c r="F105" s="64"/>
      <c r="G105" s="64"/>
      <c r="H105" s="97"/>
      <c r="I105" s="97"/>
      <c r="J105" s="64"/>
      <c r="K105" s="64"/>
      <c r="L105" s="9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</row>
    <row r="106" spans="1:23" s="11" customFormat="1" ht="14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9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</row>
    <row r="107" spans="1:23" ht="24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</row>
    <row r="108" spans="1:23" ht="24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</row>
    <row r="109" spans="1:23" ht="24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</row>
    <row r="110" spans="1:23" ht="24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</row>
    <row r="111" spans="13:23" ht="24.75" customHeight="1"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</row>
    <row r="112" spans="13:23" ht="24.75" customHeight="1"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</row>
    <row r="113" spans="13:23" ht="24.75" customHeight="1"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2:23" ht="24.75" customHeight="1">
      <c r="L114" s="11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</row>
    <row r="115" spans="12:23" ht="24.75" customHeight="1">
      <c r="L115" s="11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</row>
    <row r="116" spans="13:23" ht="24.75" customHeight="1"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</row>
    <row r="117" spans="13:23" ht="9.75" customHeight="1"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</row>
    <row r="118" spans="13:23" ht="15" customHeight="1"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</row>
    <row r="119" spans="13:23" ht="24.75" customHeight="1"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</row>
    <row r="120" spans="13:23" ht="15" customHeight="1"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</row>
    <row r="121" spans="13:23" ht="15" customHeight="1"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</row>
    <row r="122" spans="13:23" ht="15" customHeight="1"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3" spans="13:23" ht="15" customHeight="1"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</row>
    <row r="124" spans="12:23" ht="15" customHeight="1">
      <c r="L124" s="13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</row>
    <row r="125" spans="12:23" ht="15" customHeight="1">
      <c r="L125" s="11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</row>
    <row r="126" spans="13:23" ht="18.75" customHeight="1"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</row>
    <row r="127" spans="13:23" ht="15" customHeight="1"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</row>
    <row r="128" spans="1:23" s="14" customFormat="1" ht="12.75" customHeight="1">
      <c r="A128" s="16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</row>
    <row r="129" spans="13:23" ht="12.75" customHeight="1"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</row>
    <row r="130" spans="13:23" ht="12.75" customHeight="1"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7" spans="12:17" ht="12.75">
      <c r="L147" s="14"/>
      <c r="M147" s="14"/>
      <c r="N147" s="14"/>
      <c r="O147" s="14"/>
      <c r="P147" s="14"/>
      <c r="Q147" s="14"/>
    </row>
  </sheetData>
  <sheetProtection/>
  <protectedRanges>
    <protectedRange sqref="D2" name="A Lucro"/>
    <protectedRange sqref="C84:G84 G85:G86" name="M?dulo 5"/>
    <protectedRange sqref="C20 C18:G19 C15:G16" name="M?dulo 1"/>
    <protectedRange sqref="H9:K9 D4 D7 C5:C6" name="Cabe?alho"/>
    <protectedRange sqref="A33 C64:K64 A62 G33" name="M?dulo 4"/>
    <protectedRange sqref="H46:K46 C43:H43 G29:G30 J42:K43 H42:I42 H49:K49 H31:K31 H23:K27 C44:K45" name="M?dulo 2"/>
    <protectedRange sqref="C48:K48 C49:F49 C50:K54 C63:K63" name="M?dulo 3"/>
    <protectedRange sqref="I43" name="M?dulo 2_1"/>
  </protectedRanges>
  <mergeCells count="99">
    <mergeCell ref="B16:F16"/>
    <mergeCell ref="H11:K11"/>
    <mergeCell ref="H14:K14"/>
    <mergeCell ref="C13:G13"/>
    <mergeCell ref="C14:G14"/>
    <mergeCell ref="H12:K12"/>
    <mergeCell ref="H13:I13"/>
    <mergeCell ref="J13:K13"/>
    <mergeCell ref="H10:K10"/>
    <mergeCell ref="C10:G10"/>
    <mergeCell ref="C12:G12"/>
    <mergeCell ref="C23:F23"/>
    <mergeCell ref="B55:F55"/>
    <mergeCell ref="C30:F30"/>
    <mergeCell ref="B53:G53"/>
    <mergeCell ref="C51:F51"/>
    <mergeCell ref="C44:G44"/>
    <mergeCell ref="B31:F31"/>
    <mergeCell ref="B1:H1"/>
    <mergeCell ref="B3:C3"/>
    <mergeCell ref="B27:K27"/>
    <mergeCell ref="C9:G9"/>
    <mergeCell ref="C7:E7"/>
    <mergeCell ref="C11:G11"/>
    <mergeCell ref="C20:F20"/>
    <mergeCell ref="B8:C8"/>
    <mergeCell ref="D8:G8"/>
    <mergeCell ref="C19:F19"/>
    <mergeCell ref="B25:G25"/>
    <mergeCell ref="C43:G43"/>
    <mergeCell ref="C21:F21"/>
    <mergeCell ref="B41:F41"/>
    <mergeCell ref="C24:F24"/>
    <mergeCell ref="B28:F28"/>
    <mergeCell ref="B32:F32"/>
    <mergeCell ref="B86:B89"/>
    <mergeCell ref="G87:G89"/>
    <mergeCell ref="C80:G80"/>
    <mergeCell ref="C72:F72"/>
    <mergeCell ref="B75:G75"/>
    <mergeCell ref="C61:F61"/>
    <mergeCell ref="B83:F83"/>
    <mergeCell ref="H9:K9"/>
    <mergeCell ref="C84:F84"/>
    <mergeCell ref="C69:F69"/>
    <mergeCell ref="C46:G46"/>
    <mergeCell ref="C52:G52"/>
    <mergeCell ref="C56:F56"/>
    <mergeCell ref="C59:F59"/>
    <mergeCell ref="C29:F29"/>
    <mergeCell ref="C17:F17"/>
    <mergeCell ref="C18:F18"/>
    <mergeCell ref="D3:E3"/>
    <mergeCell ref="D4:E4"/>
    <mergeCell ref="B4:C4"/>
    <mergeCell ref="B5:C5"/>
    <mergeCell ref="B6:C6"/>
    <mergeCell ref="D5:E5"/>
    <mergeCell ref="D6:E6"/>
    <mergeCell ref="B103:G103"/>
    <mergeCell ref="C22:F22"/>
    <mergeCell ref="C37:F37"/>
    <mergeCell ref="B90:G90"/>
    <mergeCell ref="C65:F65"/>
    <mergeCell ref="C58:F58"/>
    <mergeCell ref="C97:G97"/>
    <mergeCell ref="C98:G98"/>
    <mergeCell ref="C94:G94"/>
    <mergeCell ref="C100:G100"/>
    <mergeCell ref="B101:G101"/>
    <mergeCell ref="B99:G99"/>
    <mergeCell ref="B73:G73"/>
    <mergeCell ref="C68:F68"/>
    <mergeCell ref="C77:G77"/>
    <mergeCell ref="B93:G93"/>
    <mergeCell ref="C76:G76"/>
    <mergeCell ref="B92:K92"/>
    <mergeCell ref="C85:F85"/>
    <mergeCell ref="C86:K86"/>
    <mergeCell ref="C96:G96"/>
    <mergeCell ref="C60:F60"/>
    <mergeCell ref="B81:G81"/>
    <mergeCell ref="C95:G95"/>
    <mergeCell ref="C47:F47"/>
    <mergeCell ref="B64:F64"/>
    <mergeCell ref="C57:F57"/>
    <mergeCell ref="C79:G79"/>
    <mergeCell ref="C50:F50"/>
    <mergeCell ref="B48:G48"/>
    <mergeCell ref="M87:O90"/>
    <mergeCell ref="C70:G70"/>
    <mergeCell ref="B71:G71"/>
    <mergeCell ref="B42:G42"/>
    <mergeCell ref="C66:F66"/>
    <mergeCell ref="C78:G78"/>
    <mergeCell ref="B62:G62"/>
    <mergeCell ref="C45:G45"/>
    <mergeCell ref="C67:F67"/>
    <mergeCell ref="B49:F49"/>
  </mergeCells>
  <conditionalFormatting sqref="H87:K88">
    <cfRule type="expression" priority="10" dxfId="0" stopIfTrue="1">
      <formula>CEASA!#REF!="simples nacional"</formula>
    </cfRule>
  </conditionalFormatting>
  <conditionalFormatting sqref="H62:K62 G33:K37 H73:K73 G39:K41 M41 H34:K40">
    <cfRule type="expression" priority="11" dxfId="0" stopIfTrue="1">
      <formula>CEASA!#REF!="simples NACIONAL"</formula>
    </cfRule>
  </conditionalFormatting>
  <printOptions horizontalCentered="1"/>
  <pageMargins left="0.3937007874015748" right="0.3937007874015748" top="0.7874015748031497" bottom="0.3937007874015748" header="0.2755905511811024" footer="0.2362204724409449"/>
  <pageSetup horizontalDpi="600" verticalDpi="600" orientation="portrait" paperSize="9" scale="53" r:id="rId3"/>
  <headerFooter alignWithMargins="0">
    <oddHeader>&amp;CJustiça Federal - Seção Judiciária de Mato Grosso do Sul</oddHeader>
    <oddFooter>&amp;CPágina &amp;P de &amp;N.&amp;REmitido em &amp;D às &amp;T.</oddFooter>
  </headerFooter>
  <rowBreaks count="1" manualBreakCount="1">
    <brk id="63" min="1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="70" zoomScaleNormal="70" zoomScalePageLayoutView="0" workbookViewId="0" topLeftCell="B1">
      <selection activeCell="C36" sqref="C36"/>
    </sheetView>
  </sheetViews>
  <sheetFormatPr defaultColWidth="9.140625" defaultRowHeight="12.75"/>
  <cols>
    <col min="1" max="1" width="9.28125" style="139" customWidth="1"/>
    <col min="2" max="2" width="84.28125" style="139" customWidth="1"/>
    <col min="3" max="3" width="13.00390625" style="139" customWidth="1"/>
    <col min="4" max="4" width="16.00390625" style="139" customWidth="1"/>
    <col min="5" max="5" width="16.8515625" style="139" customWidth="1"/>
    <col min="6" max="6" width="22.57421875" style="139" customWidth="1"/>
    <col min="7" max="7" width="18.00390625" style="139" customWidth="1"/>
    <col min="8" max="8" width="21.57421875" style="139" customWidth="1"/>
    <col min="9" max="9" width="9.28125" style="65" customWidth="1"/>
    <col min="10" max="10" width="15.8515625" style="65" customWidth="1"/>
    <col min="11" max="11" width="26.28125" style="65" customWidth="1"/>
    <col min="12" max="16" width="9.28125" style="65" customWidth="1"/>
    <col min="17" max="17" width="66.00390625" style="65" customWidth="1"/>
    <col min="18" max="16384" width="9.140625" style="65" customWidth="1"/>
  </cols>
  <sheetData>
    <row r="1" spans="6:7" ht="15">
      <c r="F1" s="143"/>
      <c r="G1" s="120"/>
    </row>
    <row r="2" spans="1:9" ht="15">
      <c r="A2" s="322" t="s">
        <v>140</v>
      </c>
      <c r="B2" s="322"/>
      <c r="C2" s="322"/>
      <c r="D2" s="322"/>
      <c r="E2" s="322"/>
      <c r="F2" s="322"/>
      <c r="G2" s="121"/>
      <c r="H2" s="121"/>
      <c r="I2" s="65" t="s">
        <v>156</v>
      </c>
    </row>
    <row r="3" spans="1:8" ht="15.75" thickBot="1">
      <c r="A3" s="323"/>
      <c r="B3" s="323"/>
      <c r="C3" s="323"/>
      <c r="D3" s="323"/>
      <c r="E3" s="323"/>
      <c r="F3" s="323"/>
      <c r="G3" s="121"/>
      <c r="H3" s="131"/>
    </row>
    <row r="4" spans="1:8" ht="47.25" customHeight="1">
      <c r="A4" s="140" t="s">
        <v>117</v>
      </c>
      <c r="B4" s="140" t="s">
        <v>45</v>
      </c>
      <c r="C4" s="140" t="s">
        <v>208</v>
      </c>
      <c r="D4" s="140" t="s">
        <v>119</v>
      </c>
      <c r="E4" s="140" t="s">
        <v>118</v>
      </c>
      <c r="F4" s="140" t="s">
        <v>120</v>
      </c>
      <c r="G4" s="121"/>
      <c r="H4" s="131"/>
    </row>
    <row r="5" spans="1:8" ht="15">
      <c r="A5" s="147">
        <v>1</v>
      </c>
      <c r="B5" s="148" t="s">
        <v>196</v>
      </c>
      <c r="C5" s="149"/>
      <c r="D5" s="150">
        <v>55.875</v>
      </c>
      <c r="E5" s="150">
        <f aca="true" t="shared" si="0" ref="E5:E13">ROUND(C5*D5,2)</f>
        <v>0</v>
      </c>
      <c r="F5" s="150">
        <f aca="true" t="shared" si="1" ref="F5:F13">ROUND(E5/12,2)</f>
        <v>0</v>
      </c>
      <c r="G5" s="131"/>
      <c r="H5" s="121"/>
    </row>
    <row r="6" spans="1:8" ht="15">
      <c r="A6" s="147">
        <v>2</v>
      </c>
      <c r="B6" s="148" t="s">
        <v>197</v>
      </c>
      <c r="C6" s="149"/>
      <c r="D6" s="150">
        <v>80</v>
      </c>
      <c r="E6" s="150">
        <f t="shared" si="0"/>
        <v>0</v>
      </c>
      <c r="F6" s="150">
        <f t="shared" si="1"/>
        <v>0</v>
      </c>
      <c r="G6" s="121"/>
      <c r="H6" s="121"/>
    </row>
    <row r="7" spans="1:8" ht="15">
      <c r="A7" s="147">
        <v>3</v>
      </c>
      <c r="B7" s="148" t="s">
        <v>198</v>
      </c>
      <c r="C7" s="149"/>
      <c r="D7" s="150">
        <v>65.08500000000001</v>
      </c>
      <c r="E7" s="150">
        <f t="shared" si="0"/>
        <v>0</v>
      </c>
      <c r="F7" s="150">
        <f t="shared" si="1"/>
        <v>0</v>
      </c>
      <c r="G7" s="121"/>
      <c r="H7" s="121"/>
    </row>
    <row r="8" spans="1:8" ht="31.5" customHeight="1">
      <c r="A8" s="147">
        <v>4</v>
      </c>
      <c r="B8" s="151" t="s">
        <v>201</v>
      </c>
      <c r="C8" s="152"/>
      <c r="D8" s="150">
        <v>84.77000000000001</v>
      </c>
      <c r="E8" s="150">
        <f t="shared" si="0"/>
        <v>0</v>
      </c>
      <c r="F8" s="150">
        <f t="shared" si="1"/>
        <v>0</v>
      </c>
      <c r="G8" s="131"/>
      <c r="H8" s="121"/>
    </row>
    <row r="9" spans="1:8" ht="15">
      <c r="A9" s="147">
        <v>5</v>
      </c>
      <c r="B9" s="148" t="s">
        <v>202</v>
      </c>
      <c r="C9" s="149"/>
      <c r="D9" s="150">
        <v>11.18</v>
      </c>
      <c r="E9" s="150">
        <f t="shared" si="0"/>
        <v>0</v>
      </c>
      <c r="F9" s="150">
        <f t="shared" si="1"/>
        <v>0</v>
      </c>
      <c r="G9" s="121"/>
      <c r="H9" s="121"/>
    </row>
    <row r="10" spans="1:8" ht="15">
      <c r="A10" s="147">
        <v>6</v>
      </c>
      <c r="B10" s="148" t="s">
        <v>203</v>
      </c>
      <c r="C10" s="149"/>
      <c r="D10" s="150">
        <v>18.585</v>
      </c>
      <c r="E10" s="150">
        <f t="shared" si="0"/>
        <v>0</v>
      </c>
      <c r="F10" s="150">
        <f t="shared" si="1"/>
        <v>0</v>
      </c>
      <c r="G10" s="121"/>
      <c r="H10" s="121"/>
    </row>
    <row r="11" spans="1:8" ht="15">
      <c r="A11" s="147">
        <v>7</v>
      </c>
      <c r="B11" s="148" t="s">
        <v>204</v>
      </c>
      <c r="C11" s="149"/>
      <c r="D11" s="150">
        <v>7.300000000000001</v>
      </c>
      <c r="E11" s="150">
        <f t="shared" si="0"/>
        <v>0</v>
      </c>
      <c r="F11" s="150">
        <f t="shared" si="1"/>
        <v>0</v>
      </c>
      <c r="G11" s="121"/>
      <c r="H11" s="121"/>
    </row>
    <row r="12" spans="1:8" ht="31.5" customHeight="1">
      <c r="A12" s="147">
        <v>8</v>
      </c>
      <c r="B12" s="153" t="s">
        <v>199</v>
      </c>
      <c r="C12" s="152"/>
      <c r="D12" s="150">
        <v>8.940000000000001</v>
      </c>
      <c r="E12" s="150">
        <f t="shared" si="0"/>
        <v>0</v>
      </c>
      <c r="F12" s="150">
        <f t="shared" si="1"/>
        <v>0</v>
      </c>
      <c r="G12" s="121"/>
      <c r="H12" s="121"/>
    </row>
    <row r="13" spans="1:8" ht="13.5" customHeight="1">
      <c r="A13" s="147">
        <v>9</v>
      </c>
      <c r="B13" s="148" t="s">
        <v>200</v>
      </c>
      <c r="C13" s="149"/>
      <c r="D13" s="150">
        <v>19.41</v>
      </c>
      <c r="E13" s="150">
        <f t="shared" si="0"/>
        <v>0</v>
      </c>
      <c r="F13" s="150">
        <f t="shared" si="1"/>
        <v>0</v>
      </c>
      <c r="G13" s="131"/>
      <c r="H13" s="121"/>
    </row>
    <row r="14" spans="1:8" ht="15">
      <c r="A14" s="154"/>
      <c r="C14" s="155"/>
      <c r="D14" s="150"/>
      <c r="E14" s="150"/>
      <c r="F14" s="150"/>
      <c r="G14" s="121"/>
      <c r="H14" s="121"/>
    </row>
    <row r="15" spans="1:8" ht="15">
      <c r="A15" s="147"/>
      <c r="B15" s="156"/>
      <c r="C15" s="157"/>
      <c r="D15" s="150"/>
      <c r="E15" s="150"/>
      <c r="F15" s="150"/>
      <c r="G15" s="121"/>
      <c r="H15" s="121"/>
    </row>
    <row r="16" spans="1:8" ht="15">
      <c r="A16" s="147"/>
      <c r="B16" s="144"/>
      <c r="C16" s="157"/>
      <c r="D16" s="150"/>
      <c r="E16" s="150"/>
      <c r="F16" s="150"/>
      <c r="G16" s="121"/>
      <c r="H16" s="121"/>
    </row>
    <row r="17" spans="1:8" ht="15">
      <c r="A17" s="147"/>
      <c r="B17" s="146"/>
      <c r="C17" s="157"/>
      <c r="D17" s="150"/>
      <c r="E17" s="150"/>
      <c r="F17" s="150"/>
      <c r="G17" s="121"/>
      <c r="H17" s="121"/>
    </row>
    <row r="18" spans="1:8" ht="15">
      <c r="A18" s="154"/>
      <c r="B18" s="158"/>
      <c r="C18" s="157"/>
      <c r="D18" s="150"/>
      <c r="E18" s="150"/>
      <c r="F18" s="150"/>
      <c r="G18" s="121"/>
      <c r="H18" s="121"/>
    </row>
    <row r="19" spans="1:8" ht="15">
      <c r="A19" s="154"/>
      <c r="B19" s="158"/>
      <c r="C19" s="157"/>
      <c r="D19" s="150"/>
      <c r="E19" s="150"/>
      <c r="F19" s="150"/>
      <c r="G19" s="121"/>
      <c r="H19" s="121"/>
    </row>
    <row r="20" spans="1:8" ht="15">
      <c r="A20" s="154"/>
      <c r="B20" s="158"/>
      <c r="C20" s="157"/>
      <c r="D20" s="150"/>
      <c r="E20" s="150"/>
      <c r="F20" s="150"/>
      <c r="G20" s="121"/>
      <c r="H20" s="121"/>
    </row>
    <row r="21" spans="1:7" ht="15">
      <c r="A21" s="324" t="s">
        <v>126</v>
      </c>
      <c r="B21" s="324"/>
      <c r="C21" s="324"/>
      <c r="D21" s="324"/>
      <c r="E21" s="150">
        <f>SUM(E5:E20)</f>
        <v>0</v>
      </c>
      <c r="F21" s="150">
        <f>SUM(F5:F20)</f>
        <v>0</v>
      </c>
      <c r="G21" s="121"/>
    </row>
    <row r="22" spans="1:8" ht="15">
      <c r="A22" s="171" t="s">
        <v>131</v>
      </c>
      <c r="B22" s="328" t="s">
        <v>209</v>
      </c>
      <c r="C22" s="328"/>
      <c r="D22" s="328"/>
      <c r="E22" s="328"/>
      <c r="F22" s="328"/>
      <c r="G22" s="328"/>
      <c r="H22" s="328"/>
    </row>
    <row r="23" spans="1:8" s="64" customFormat="1" ht="15">
      <c r="A23" s="66"/>
      <c r="B23" s="66"/>
      <c r="C23" s="66"/>
      <c r="D23" s="139"/>
      <c r="E23" s="139"/>
      <c r="F23" s="139"/>
      <c r="G23" s="139"/>
      <c r="H23" s="139"/>
    </row>
    <row r="24" spans="1:8" s="64" customFormat="1" ht="15">
      <c r="A24" s="322" t="s">
        <v>139</v>
      </c>
      <c r="B24" s="322"/>
      <c r="C24" s="322"/>
      <c r="D24" s="322"/>
      <c r="E24" s="322"/>
      <c r="F24" s="322"/>
      <c r="G24" s="68"/>
      <c r="H24" s="68"/>
    </row>
    <row r="25" spans="1:8" s="64" customFormat="1" ht="15">
      <c r="A25" s="67"/>
      <c r="B25" s="67"/>
      <c r="C25" s="67"/>
      <c r="D25" s="67"/>
      <c r="E25" s="67"/>
      <c r="F25" s="139"/>
      <c r="G25" s="139"/>
      <c r="H25" s="139"/>
    </row>
    <row r="26" spans="1:7" ht="46.5">
      <c r="A26" s="141" t="s">
        <v>117</v>
      </c>
      <c r="B26" s="141" t="s">
        <v>45</v>
      </c>
      <c r="C26" s="141" t="s">
        <v>123</v>
      </c>
      <c r="D26" s="141" t="s">
        <v>119</v>
      </c>
      <c r="E26" s="141" t="s">
        <v>121</v>
      </c>
      <c r="F26" s="141" t="s">
        <v>192</v>
      </c>
      <c r="G26" s="141" t="s">
        <v>137</v>
      </c>
    </row>
    <row r="27" spans="1:8" ht="15">
      <c r="A27" s="154">
        <v>1</v>
      </c>
      <c r="B27" s="159" t="s">
        <v>207</v>
      </c>
      <c r="C27" s="172"/>
      <c r="D27" s="150">
        <v>53.050000000000004</v>
      </c>
      <c r="E27" s="160">
        <f aca="true" t="shared" si="2" ref="E27:E32">IF(C27=0,0,ROUND(C27*D27,2))</f>
        <v>0</v>
      </c>
      <c r="F27" s="123">
        <v>24</v>
      </c>
      <c r="G27" s="160">
        <f aca="true" t="shared" si="3" ref="G27:G32">IF(F27=0,0,ROUND(E27/F27,2))</f>
        <v>0</v>
      </c>
      <c r="H27" s="131"/>
    </row>
    <row r="28" spans="1:8" ht="15">
      <c r="A28" s="154">
        <v>2</v>
      </c>
      <c r="B28" s="161" t="s">
        <v>205</v>
      </c>
      <c r="C28" s="172"/>
      <c r="D28" s="150">
        <v>19.515</v>
      </c>
      <c r="E28" s="160">
        <f t="shared" si="2"/>
        <v>0</v>
      </c>
      <c r="F28" s="123">
        <v>24</v>
      </c>
      <c r="G28" s="160">
        <f t="shared" si="3"/>
        <v>0</v>
      </c>
      <c r="H28" s="131"/>
    </row>
    <row r="29" spans="1:8" ht="15">
      <c r="A29" s="154">
        <v>3</v>
      </c>
      <c r="B29" s="156" t="s">
        <v>158</v>
      </c>
      <c r="C29" s="172"/>
      <c r="D29" s="150">
        <v>48.155</v>
      </c>
      <c r="E29" s="160">
        <f t="shared" si="2"/>
        <v>0</v>
      </c>
      <c r="F29" s="123">
        <v>24</v>
      </c>
      <c r="G29" s="160">
        <f t="shared" si="3"/>
        <v>0</v>
      </c>
      <c r="H29" s="131"/>
    </row>
    <row r="30" spans="1:8" ht="15">
      <c r="A30" s="154">
        <v>4</v>
      </c>
      <c r="B30" s="125" t="s">
        <v>163</v>
      </c>
      <c r="C30" s="172"/>
      <c r="D30" s="150">
        <v>15.185</v>
      </c>
      <c r="E30" s="160">
        <f t="shared" si="2"/>
        <v>0</v>
      </c>
      <c r="F30" s="123">
        <v>24</v>
      </c>
      <c r="G30" s="160">
        <f t="shared" si="3"/>
        <v>0</v>
      </c>
      <c r="H30" s="131"/>
    </row>
    <row r="31" spans="1:8" ht="15">
      <c r="A31" s="154">
        <v>5</v>
      </c>
      <c r="B31" s="162" t="s">
        <v>164</v>
      </c>
      <c r="C31" s="172"/>
      <c r="D31" s="150">
        <v>12.41</v>
      </c>
      <c r="E31" s="160">
        <f t="shared" si="2"/>
        <v>0</v>
      </c>
      <c r="F31" s="123">
        <v>24</v>
      </c>
      <c r="G31" s="160">
        <f t="shared" si="3"/>
        <v>0</v>
      </c>
      <c r="H31" s="131"/>
    </row>
    <row r="32" spans="1:8" ht="15">
      <c r="A32" s="154">
        <v>6</v>
      </c>
      <c r="B32" s="175" t="s">
        <v>206</v>
      </c>
      <c r="C32" s="176"/>
      <c r="D32" s="144">
        <v>92.45</v>
      </c>
      <c r="E32" s="160">
        <f t="shared" si="2"/>
        <v>0</v>
      </c>
      <c r="F32" s="123">
        <v>24</v>
      </c>
      <c r="G32" s="160">
        <f t="shared" si="3"/>
        <v>0</v>
      </c>
      <c r="H32" s="131"/>
    </row>
    <row r="33" spans="1:8" ht="15">
      <c r="A33" s="154"/>
      <c r="B33" s="144"/>
      <c r="C33" s="163"/>
      <c r="D33" s="144"/>
      <c r="E33" s="160"/>
      <c r="F33" s="85"/>
      <c r="G33" s="160"/>
      <c r="H33" s="121"/>
    </row>
    <row r="34" spans="1:8" ht="15">
      <c r="A34" s="154"/>
      <c r="B34" s="164"/>
      <c r="C34" s="165"/>
      <c r="D34" s="144"/>
      <c r="E34" s="160"/>
      <c r="F34" s="85"/>
      <c r="G34" s="160"/>
      <c r="H34" s="121"/>
    </row>
    <row r="35" spans="1:8" ht="15">
      <c r="A35" s="154"/>
      <c r="B35" s="144"/>
      <c r="C35" s="166"/>
      <c r="D35" s="144"/>
      <c r="E35" s="160"/>
      <c r="F35" s="85"/>
      <c r="G35" s="160"/>
      <c r="H35" s="121"/>
    </row>
    <row r="36" spans="1:8" ht="15">
      <c r="A36" s="154"/>
      <c r="B36" s="164"/>
      <c r="C36" s="165"/>
      <c r="D36" s="144"/>
      <c r="E36" s="160"/>
      <c r="F36" s="85"/>
      <c r="G36" s="160"/>
      <c r="H36" s="121"/>
    </row>
    <row r="37" spans="1:8" ht="15">
      <c r="A37" s="154"/>
      <c r="B37" s="144"/>
      <c r="C37" s="165"/>
      <c r="D37" s="144"/>
      <c r="E37" s="160"/>
      <c r="F37" s="85"/>
      <c r="G37" s="160"/>
      <c r="H37" s="121"/>
    </row>
    <row r="38" spans="1:7" ht="15">
      <c r="A38" s="325" t="s">
        <v>124</v>
      </c>
      <c r="B38" s="326"/>
      <c r="C38" s="326"/>
      <c r="D38" s="326"/>
      <c r="E38" s="326"/>
      <c r="F38" s="327"/>
      <c r="G38" s="160">
        <f>SUM(G27:G37)</f>
        <v>0</v>
      </c>
    </row>
    <row r="39" spans="1:7" ht="15">
      <c r="A39" s="325" t="s">
        <v>127</v>
      </c>
      <c r="B39" s="326"/>
      <c r="C39" s="326"/>
      <c r="D39" s="326"/>
      <c r="E39" s="326"/>
      <c r="F39" s="327"/>
      <c r="G39" s="146">
        <v>15</v>
      </c>
    </row>
    <row r="40" spans="1:7" ht="15">
      <c r="A40" s="330" t="s">
        <v>128</v>
      </c>
      <c r="B40" s="331"/>
      <c r="C40" s="331"/>
      <c r="D40" s="331"/>
      <c r="E40" s="331"/>
      <c r="F40" s="332"/>
      <c r="G40" s="84">
        <f>ROUND(G38/G39,2)</f>
        <v>0</v>
      </c>
    </row>
    <row r="41" spans="1:8" ht="15">
      <c r="A41" s="121" t="s">
        <v>131</v>
      </c>
      <c r="B41" s="329" t="s">
        <v>193</v>
      </c>
      <c r="C41" s="329"/>
      <c r="D41" s="329"/>
      <c r="E41" s="329"/>
      <c r="F41" s="329"/>
      <c r="G41" s="329"/>
      <c r="H41" s="329"/>
    </row>
    <row r="42" spans="1:3" ht="15">
      <c r="A42" s="142"/>
      <c r="B42" s="142"/>
      <c r="C42" s="142"/>
    </row>
    <row r="43" spans="1:8" ht="15">
      <c r="A43" s="333" t="s">
        <v>134</v>
      </c>
      <c r="B43" s="322"/>
      <c r="C43" s="322"/>
      <c r="D43" s="322"/>
      <c r="E43" s="322"/>
      <c r="F43" s="322"/>
      <c r="G43" s="322"/>
      <c r="H43" s="322"/>
    </row>
    <row r="44" spans="1:8" ht="15">
      <c r="A44" s="67"/>
      <c r="B44" s="67"/>
      <c r="C44" s="67"/>
      <c r="D44" s="67"/>
      <c r="E44" s="67"/>
      <c r="F44" s="121"/>
      <c r="G44" s="121"/>
      <c r="H44" s="121"/>
    </row>
    <row r="45" spans="1:12" ht="46.5">
      <c r="A45" s="141" t="s">
        <v>117</v>
      </c>
      <c r="B45" s="141" t="s">
        <v>45</v>
      </c>
      <c r="C45" s="141" t="s">
        <v>123</v>
      </c>
      <c r="D45" s="141" t="s">
        <v>119</v>
      </c>
      <c r="E45" s="141" t="s">
        <v>121</v>
      </c>
      <c r="F45" s="141" t="s">
        <v>133</v>
      </c>
      <c r="G45" s="141" t="s">
        <v>162</v>
      </c>
      <c r="H45" s="141" t="s">
        <v>122</v>
      </c>
      <c r="I45" s="133"/>
      <c r="J45" s="133"/>
      <c r="K45" s="133"/>
      <c r="L45" s="134"/>
    </row>
    <row r="46" spans="1:12" ht="15">
      <c r="A46" s="147">
        <v>1</v>
      </c>
      <c r="B46" s="167" t="s">
        <v>194</v>
      </c>
      <c r="C46" s="173"/>
      <c r="D46" s="169">
        <v>3536.133333333333</v>
      </c>
      <c r="E46" s="160">
        <f aca="true" t="shared" si="4" ref="E46:E52">ROUND(C46*D46,2)</f>
        <v>0</v>
      </c>
      <c r="F46" s="77">
        <v>0.2</v>
      </c>
      <c r="G46" s="160">
        <f aca="true" t="shared" si="5" ref="G46:G52">ROUND(E46*F46,2)</f>
        <v>0</v>
      </c>
      <c r="H46" s="160">
        <f>ROUND(G46/12,2)</f>
        <v>0</v>
      </c>
      <c r="I46" s="133"/>
      <c r="J46" s="134"/>
      <c r="K46" s="134"/>
      <c r="L46" s="134"/>
    </row>
    <row r="47" spans="1:12" ht="15">
      <c r="A47" s="147">
        <v>2</v>
      </c>
      <c r="B47" s="168" t="s">
        <v>159</v>
      </c>
      <c r="C47" s="172"/>
      <c r="D47" s="169">
        <v>40.803333333333335</v>
      </c>
      <c r="E47" s="160">
        <f t="shared" si="4"/>
        <v>0</v>
      </c>
      <c r="F47" s="77">
        <v>0.2</v>
      </c>
      <c r="G47" s="160">
        <f t="shared" si="5"/>
        <v>0</v>
      </c>
      <c r="H47" s="160">
        <f aca="true" t="shared" si="6" ref="H47:H52">ROUND(G47/12,2)</f>
        <v>0</v>
      </c>
      <c r="I47" s="134"/>
      <c r="J47" s="134"/>
      <c r="K47" s="134"/>
      <c r="L47" s="134"/>
    </row>
    <row r="48" spans="1:12" ht="13.5" customHeight="1">
      <c r="A48" s="147">
        <v>3</v>
      </c>
      <c r="B48" s="168" t="s">
        <v>160</v>
      </c>
      <c r="C48" s="172"/>
      <c r="D48" s="169">
        <v>35.5</v>
      </c>
      <c r="E48" s="160">
        <f t="shared" si="4"/>
        <v>0</v>
      </c>
      <c r="F48" s="77">
        <v>0.2</v>
      </c>
      <c r="G48" s="160">
        <f t="shared" si="5"/>
        <v>0</v>
      </c>
      <c r="H48" s="160">
        <f t="shared" si="6"/>
        <v>0</v>
      </c>
      <c r="I48" s="134"/>
      <c r="J48" s="134"/>
      <c r="K48" s="134"/>
      <c r="L48" s="134"/>
    </row>
    <row r="49" spans="1:12" ht="13.5" customHeight="1">
      <c r="A49" s="147">
        <v>4</v>
      </c>
      <c r="B49" s="161" t="s">
        <v>195</v>
      </c>
      <c r="C49" s="172"/>
      <c r="D49" s="169">
        <v>74.95</v>
      </c>
      <c r="E49" s="160">
        <f t="shared" si="4"/>
        <v>0</v>
      </c>
      <c r="F49" s="77">
        <v>0.2</v>
      </c>
      <c r="G49" s="160">
        <f t="shared" si="5"/>
        <v>0</v>
      </c>
      <c r="H49" s="160">
        <f t="shared" si="6"/>
        <v>0</v>
      </c>
      <c r="I49" s="134"/>
      <c r="J49" s="134"/>
      <c r="K49" s="134"/>
      <c r="L49" s="134"/>
    </row>
    <row r="50" spans="1:12" ht="30">
      <c r="A50" s="147">
        <v>5</v>
      </c>
      <c r="B50" s="168" t="s">
        <v>172</v>
      </c>
      <c r="C50" s="174"/>
      <c r="D50" s="169">
        <v>118.48</v>
      </c>
      <c r="E50" s="160">
        <f t="shared" si="4"/>
        <v>0</v>
      </c>
      <c r="F50" s="77">
        <v>0.2</v>
      </c>
      <c r="G50" s="160">
        <f t="shared" si="5"/>
        <v>0</v>
      </c>
      <c r="H50" s="160">
        <f t="shared" si="6"/>
        <v>0</v>
      </c>
      <c r="I50" s="134"/>
      <c r="J50" s="134"/>
      <c r="K50" s="134"/>
      <c r="L50" s="134"/>
    </row>
    <row r="51" spans="1:12" ht="14.25" customHeight="1">
      <c r="A51" s="147">
        <v>6</v>
      </c>
      <c r="B51" s="168" t="s">
        <v>171</v>
      </c>
      <c r="C51" s="172"/>
      <c r="D51" s="169">
        <v>1022.1099999999999</v>
      </c>
      <c r="E51" s="160">
        <f t="shared" si="4"/>
        <v>0</v>
      </c>
      <c r="F51" s="77">
        <v>0.2</v>
      </c>
      <c r="G51" s="160">
        <f t="shared" si="5"/>
        <v>0</v>
      </c>
      <c r="H51" s="160">
        <f t="shared" si="6"/>
        <v>0</v>
      </c>
      <c r="I51" s="134"/>
      <c r="J51" s="134"/>
      <c r="K51" s="134"/>
      <c r="L51" s="134"/>
    </row>
    <row r="52" spans="1:12" ht="164.25" customHeight="1">
      <c r="A52" s="147">
        <v>7</v>
      </c>
      <c r="B52" s="168" t="s">
        <v>173</v>
      </c>
      <c r="C52" s="173"/>
      <c r="D52" s="170">
        <v>1715.4966666666667</v>
      </c>
      <c r="E52" s="160">
        <f t="shared" si="4"/>
        <v>0</v>
      </c>
      <c r="F52" s="126">
        <v>0.2</v>
      </c>
      <c r="G52" s="160">
        <f t="shared" si="5"/>
        <v>0</v>
      </c>
      <c r="H52" s="160">
        <f t="shared" si="6"/>
        <v>0</v>
      </c>
      <c r="I52" s="134"/>
      <c r="J52" s="134"/>
      <c r="K52" s="134"/>
      <c r="L52" s="134"/>
    </row>
    <row r="53" spans="1:12" ht="15">
      <c r="A53" s="147">
        <v>11</v>
      </c>
      <c r="B53" s="144" t="s">
        <v>157</v>
      </c>
      <c r="C53" s="137"/>
      <c r="D53" s="169">
        <v>150.45499999999998</v>
      </c>
      <c r="E53" s="160">
        <f>ROUND(C53*D53,2)</f>
        <v>0</v>
      </c>
      <c r="F53" s="77">
        <v>0.2</v>
      </c>
      <c r="G53" s="160">
        <f>ROUND(E53*F53,2)</f>
        <v>0</v>
      </c>
      <c r="H53" s="160">
        <f>ROUND(G53/12,2)</f>
        <v>0</v>
      </c>
      <c r="I53" s="134"/>
      <c r="J53" s="134"/>
      <c r="K53" s="134"/>
      <c r="L53" s="134"/>
    </row>
    <row r="54" spans="1:12" ht="15">
      <c r="A54" s="147">
        <v>12</v>
      </c>
      <c r="B54" s="156" t="s">
        <v>161</v>
      </c>
      <c r="C54" s="172"/>
      <c r="D54" s="169">
        <v>591.71</v>
      </c>
      <c r="E54" s="160">
        <f>ROUND(C54*D54,2)</f>
        <v>0</v>
      </c>
      <c r="F54" s="77">
        <v>0.1</v>
      </c>
      <c r="G54" s="160">
        <f>ROUND(E54*F54,2)</f>
        <v>0</v>
      </c>
      <c r="H54" s="160">
        <f>ROUND(G54/12,2)</f>
        <v>0</v>
      </c>
      <c r="I54" s="134"/>
      <c r="J54" s="134"/>
      <c r="K54" s="134"/>
      <c r="L54" s="134"/>
    </row>
    <row r="55" spans="1:12" ht="15">
      <c r="A55" s="154"/>
      <c r="B55" s="144"/>
      <c r="C55" s="144"/>
      <c r="D55" s="144"/>
      <c r="E55" s="144"/>
      <c r="F55" s="144"/>
      <c r="G55" s="144"/>
      <c r="H55" s="144"/>
      <c r="I55" s="134"/>
      <c r="J55" s="134"/>
      <c r="K55" s="134"/>
      <c r="L55" s="134"/>
    </row>
    <row r="56" spans="1:12" ht="15">
      <c r="A56" s="334" t="s">
        <v>124</v>
      </c>
      <c r="B56" s="335"/>
      <c r="C56" s="335"/>
      <c r="D56" s="335"/>
      <c r="E56" s="335"/>
      <c r="F56" s="335"/>
      <c r="G56" s="336"/>
      <c r="H56" s="160">
        <f>SUM(H46:H55)</f>
        <v>0</v>
      </c>
      <c r="I56" s="134"/>
      <c r="J56" s="134"/>
      <c r="K56" s="134"/>
      <c r="L56" s="134"/>
    </row>
    <row r="57" spans="1:12" ht="15">
      <c r="A57" s="334" t="s">
        <v>129</v>
      </c>
      <c r="B57" s="335"/>
      <c r="C57" s="335"/>
      <c r="D57" s="335"/>
      <c r="E57" s="335"/>
      <c r="F57" s="335"/>
      <c r="G57" s="336"/>
      <c r="H57" s="146">
        <v>15</v>
      </c>
      <c r="I57" s="134"/>
      <c r="J57" s="134"/>
      <c r="K57" s="134"/>
      <c r="L57" s="134"/>
    </row>
    <row r="58" spans="1:12" ht="15">
      <c r="A58" s="337" t="s">
        <v>130</v>
      </c>
      <c r="B58" s="338"/>
      <c r="C58" s="338"/>
      <c r="D58" s="338"/>
      <c r="E58" s="338"/>
      <c r="F58" s="338"/>
      <c r="G58" s="339"/>
      <c r="H58" s="96">
        <f>ROUND(H56/H57,2)</f>
        <v>0</v>
      </c>
      <c r="I58" s="134"/>
      <c r="J58" s="134"/>
      <c r="K58" s="134"/>
      <c r="L58" s="134"/>
    </row>
    <row r="59" spans="1:12" ht="15">
      <c r="A59" s="121" t="s">
        <v>131</v>
      </c>
      <c r="B59" s="329" t="s">
        <v>132</v>
      </c>
      <c r="C59" s="329"/>
      <c r="D59" s="329"/>
      <c r="E59" s="329"/>
      <c r="F59" s="329"/>
      <c r="G59" s="329"/>
      <c r="H59" s="329"/>
      <c r="I59" s="134"/>
      <c r="J59" s="134"/>
      <c r="K59" s="134"/>
      <c r="L59" s="134"/>
    </row>
    <row r="60" ht="15">
      <c r="B60" s="121" t="s">
        <v>165</v>
      </c>
    </row>
    <row r="61" spans="1:8" ht="15">
      <c r="A61" s="121"/>
      <c r="C61" s="122"/>
      <c r="D61" s="122"/>
      <c r="E61" s="122"/>
      <c r="F61" s="122"/>
      <c r="G61" s="122"/>
      <c r="H61" s="122"/>
    </row>
    <row r="62" spans="1:8" ht="15">
      <c r="A62" s="121"/>
      <c r="B62" s="121"/>
      <c r="C62" s="121"/>
      <c r="D62" s="121"/>
      <c r="E62" s="121"/>
      <c r="F62" s="121"/>
      <c r="G62" s="121"/>
      <c r="H62" s="121"/>
    </row>
    <row r="63" spans="1:8" ht="15">
      <c r="A63" s="121"/>
      <c r="B63" s="121"/>
      <c r="C63" s="121"/>
      <c r="D63" s="121"/>
      <c r="E63" s="121"/>
      <c r="F63" s="121"/>
      <c r="G63" s="121"/>
      <c r="H63" s="121"/>
    </row>
    <row r="64" spans="1:8" ht="15">
      <c r="A64" s="121"/>
      <c r="C64" s="121"/>
      <c r="D64" s="121"/>
      <c r="E64" s="121"/>
      <c r="F64" s="121"/>
      <c r="G64" s="121"/>
      <c r="H64" s="121"/>
    </row>
  </sheetData>
  <sheetProtection selectLockedCells="1"/>
  <mergeCells count="14">
    <mergeCell ref="B59:H59"/>
    <mergeCell ref="A40:F40"/>
    <mergeCell ref="B41:H41"/>
    <mergeCell ref="A43:H43"/>
    <mergeCell ref="A56:G56"/>
    <mergeCell ref="A57:G57"/>
    <mergeCell ref="A58:G58"/>
    <mergeCell ref="A2:F2"/>
    <mergeCell ref="A3:F3"/>
    <mergeCell ref="A21:D21"/>
    <mergeCell ref="A24:F24"/>
    <mergeCell ref="A38:F38"/>
    <mergeCell ref="A39:F39"/>
    <mergeCell ref="B22:H2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  <headerFooter>
    <oddHeader>&amp;CJustiça Federal - Seção Judiciária de Mato Grosso do Sul</oddHeader>
    <oddFooter>&amp;CPágina &amp;P de &amp;N.&amp;REmitido em &amp;D às &amp;T.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TRF-3</dc:creator>
  <cp:keywords/>
  <dc:description/>
  <cp:lastModifiedBy>ceasams</cp:lastModifiedBy>
  <cp:lastPrinted>2018-03-21T17:24:29Z</cp:lastPrinted>
  <dcterms:created xsi:type="dcterms:W3CDTF">2011-03-23T18:18:29Z</dcterms:created>
  <dcterms:modified xsi:type="dcterms:W3CDTF">2022-05-10T13:04:01Z</dcterms:modified>
  <cp:category/>
  <cp:version/>
  <cp:contentType/>
  <cp:contentStatus/>
</cp:coreProperties>
</file>